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DIRECCION DE CONTABILIDAD\ESTADOS FINANCIEROS\2024\1200\SIRET\ADICIONAL\"/>
    </mc:Choice>
  </mc:AlternateContent>
  <xr:revisionPtr revIDLastSave="0" documentId="8_{6A2E7573-F9C3-4326-83FB-1FC4046918EA}" xr6:coauthVersionLast="47" xr6:coauthVersionMax="47" xr10:uidLastSave="{00000000-0000-0000-0000-000000000000}"/>
  <bookViews>
    <workbookView xWindow="-120" yWindow="-120" windowWidth="20730" windowHeight="11040" xr2:uid="{466FE9D7-4FF6-4FDC-8E55-9CA5D6BCF31E}"/>
  </bookViews>
  <sheets>
    <sheet name="DIC" sheetId="12" r:id="rId1"/>
    <sheet name="NOV" sheetId="11" r:id="rId2"/>
    <sheet name="OCT" sheetId="10" r:id="rId3"/>
    <sheet name="SEP" sheetId="9" r:id="rId4"/>
    <sheet name="AGO" sheetId="8" r:id="rId5"/>
    <sheet name="JUL" sheetId="7" r:id="rId6"/>
    <sheet name="JUN" sheetId="6" r:id="rId7"/>
    <sheet name="MAY" sheetId="5" r:id="rId8"/>
    <sheet name="ABR" sheetId="4" r:id="rId9"/>
    <sheet name="MAR" sheetId="3" r:id="rId10"/>
    <sheet name="FEB" sheetId="2" r:id="rId11"/>
    <sheet name="ENE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0">DIC!$A$1:$M$70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2" l="1"/>
  <c r="K14" i="12"/>
  <c r="M14" i="12"/>
  <c r="F15" i="12"/>
  <c r="K15" i="12"/>
  <c r="F16" i="12"/>
  <c r="M16" i="12" s="1"/>
  <c r="K16" i="12"/>
  <c r="F17" i="12"/>
  <c r="H17" i="12"/>
  <c r="I17" i="12"/>
  <c r="AE17" i="12" s="1"/>
  <c r="J17" i="12"/>
  <c r="O17" i="12"/>
  <c r="Y17" i="12" s="1"/>
  <c r="Q17" i="12"/>
  <c r="S17" i="12"/>
  <c r="AF17" i="12"/>
  <c r="F18" i="12"/>
  <c r="K18" i="12"/>
  <c r="M18" i="12"/>
  <c r="Y18" i="12"/>
  <c r="Z18" i="12" s="1"/>
  <c r="AD18" i="12"/>
  <c r="AE18" i="12"/>
  <c r="AF18" i="12"/>
  <c r="F19" i="12"/>
  <c r="K19" i="12"/>
  <c r="M19" i="12"/>
  <c r="Z19" i="12" s="1"/>
  <c r="Y19" i="12"/>
  <c r="AD19" i="12"/>
  <c r="AE19" i="12"/>
  <c r="AF19" i="12"/>
  <c r="F20" i="12"/>
  <c r="H20" i="12"/>
  <c r="K20" i="12" s="1"/>
  <c r="M20" i="12" s="1"/>
  <c r="I20" i="12"/>
  <c r="J20" i="12"/>
  <c r="Y20" i="12"/>
  <c r="AD20" i="12"/>
  <c r="AE20" i="12"/>
  <c r="AF20" i="12"/>
  <c r="F21" i="12"/>
  <c r="M21" i="12" s="1"/>
  <c r="K21" i="12"/>
  <c r="Y21" i="12"/>
  <c r="AD21" i="12"/>
  <c r="AE21" i="12"/>
  <c r="AF21" i="12"/>
  <c r="F22" i="12"/>
  <c r="M22" i="12" s="1"/>
  <c r="Z22" i="12" s="1"/>
  <c r="K22" i="12"/>
  <c r="Y22" i="12"/>
  <c r="AD22" i="12"/>
  <c r="AE22" i="12"/>
  <c r="AF22" i="12"/>
  <c r="F23" i="12"/>
  <c r="K23" i="12"/>
  <c r="M23" i="12"/>
  <c r="Y23" i="12"/>
  <c r="Z23" i="12" s="1"/>
  <c r="AD23" i="12"/>
  <c r="AE23" i="12"/>
  <c r="AF23" i="12"/>
  <c r="F24" i="12"/>
  <c r="H24" i="12"/>
  <c r="AD24" i="12" s="1"/>
  <c r="I24" i="12"/>
  <c r="AE24" i="12" s="1"/>
  <c r="J24" i="12"/>
  <c r="O24" i="12"/>
  <c r="Y24" i="12" s="1"/>
  <c r="P24" i="12"/>
  <c r="AF24" i="12"/>
  <c r="F25" i="12"/>
  <c r="M25" i="12" s="1"/>
  <c r="H25" i="12"/>
  <c r="I25" i="12"/>
  <c r="J25" i="12"/>
  <c r="K25" i="12"/>
  <c r="O25" i="12"/>
  <c r="Q25" i="12"/>
  <c r="Q46" i="12" s="1"/>
  <c r="C55" i="12" s="1"/>
  <c r="R25" i="12"/>
  <c r="R46" i="12" s="1"/>
  <c r="C56" i="12" s="1"/>
  <c r="S25" i="12"/>
  <c r="AD25" i="12"/>
  <c r="AE25" i="12"/>
  <c r="AF25" i="12"/>
  <c r="F26" i="12"/>
  <c r="M26" i="12" s="1"/>
  <c r="Z26" i="12" s="1"/>
  <c r="K26" i="12"/>
  <c r="Y26" i="12"/>
  <c r="AD26" i="12"/>
  <c r="AE26" i="12"/>
  <c r="AF26" i="12"/>
  <c r="F27" i="12"/>
  <c r="H27" i="12"/>
  <c r="I27" i="12"/>
  <c r="AE27" i="12" s="1"/>
  <c r="J27" i="12"/>
  <c r="AF27" i="12" s="1"/>
  <c r="O27" i="12"/>
  <c r="Y27" i="12" s="1"/>
  <c r="Q27" i="12"/>
  <c r="AD27" i="12"/>
  <c r="F28" i="12"/>
  <c r="K28" i="12"/>
  <c r="Y28" i="12"/>
  <c r="AD28" i="12"/>
  <c r="AE28" i="12"/>
  <c r="AF28" i="12"/>
  <c r="F29" i="12"/>
  <c r="M29" i="12" s="1"/>
  <c r="Z29" i="12" s="1"/>
  <c r="K29" i="12"/>
  <c r="Y29" i="12"/>
  <c r="AD29" i="12"/>
  <c r="AE29" i="12"/>
  <c r="AF29" i="12"/>
  <c r="F30" i="12"/>
  <c r="K30" i="12"/>
  <c r="M30" i="12"/>
  <c r="Y30" i="12"/>
  <c r="Z30" i="12" s="1"/>
  <c r="AD30" i="12"/>
  <c r="AE30" i="12"/>
  <c r="AF30" i="12"/>
  <c r="F31" i="12"/>
  <c r="K31" i="12"/>
  <c r="M31" i="12"/>
  <c r="Z31" i="12" s="1"/>
  <c r="Y31" i="12"/>
  <c r="AD31" i="12"/>
  <c r="AE31" i="12"/>
  <c r="AF31" i="12"/>
  <c r="F32" i="12"/>
  <c r="H32" i="12"/>
  <c r="AD32" i="12" s="1"/>
  <c r="I32" i="12"/>
  <c r="J32" i="12"/>
  <c r="O32" i="12"/>
  <c r="Q32" i="12"/>
  <c r="Y32" i="12"/>
  <c r="AE32" i="12"/>
  <c r="AF32" i="12"/>
  <c r="F33" i="12"/>
  <c r="H33" i="12"/>
  <c r="K33" i="12" s="1"/>
  <c r="M33" i="12" s="1"/>
  <c r="I33" i="12"/>
  <c r="AE33" i="12" s="1"/>
  <c r="J33" i="12"/>
  <c r="AF33" i="12" s="1"/>
  <c r="O33" i="12"/>
  <c r="Y33" i="12" s="1"/>
  <c r="Q33" i="12"/>
  <c r="AD33" i="12"/>
  <c r="F34" i="12"/>
  <c r="H34" i="12"/>
  <c r="AD34" i="12" s="1"/>
  <c r="I34" i="12"/>
  <c r="J34" i="12"/>
  <c r="O34" i="12"/>
  <c r="Q34" i="12"/>
  <c r="Y34" i="12"/>
  <c r="AE34" i="12"/>
  <c r="AF34" i="12"/>
  <c r="F35" i="12"/>
  <c r="K35" i="12"/>
  <c r="M35" i="12"/>
  <c r="Y35" i="12"/>
  <c r="Z35" i="12" s="1"/>
  <c r="AD35" i="12"/>
  <c r="AE35" i="12"/>
  <c r="AF35" i="12"/>
  <c r="F36" i="12"/>
  <c r="K36" i="12"/>
  <c r="M36" i="12"/>
  <c r="Z36" i="12" s="1"/>
  <c r="Y36" i="12"/>
  <c r="AD36" i="12"/>
  <c r="AE36" i="12"/>
  <c r="AF36" i="12"/>
  <c r="F37" i="12"/>
  <c r="K37" i="12"/>
  <c r="Y37" i="12"/>
  <c r="AD37" i="12"/>
  <c r="AE37" i="12"/>
  <c r="AF37" i="12"/>
  <c r="F38" i="12"/>
  <c r="M38" i="12" s="1"/>
  <c r="J38" i="12"/>
  <c r="K38" i="12"/>
  <c r="P38" i="12"/>
  <c r="T38" i="12"/>
  <c r="U38" i="12"/>
  <c r="U46" i="12" s="1"/>
  <c r="C59" i="12" s="1"/>
  <c r="W38" i="12"/>
  <c r="Y38" i="12"/>
  <c r="AD38" i="12"/>
  <c r="AE38" i="12"/>
  <c r="AF38" i="12"/>
  <c r="F39" i="12"/>
  <c r="J39" i="12"/>
  <c r="AF39" i="12" s="1"/>
  <c r="K39" i="12"/>
  <c r="O39" i="12"/>
  <c r="Y39" i="12"/>
  <c r="AD39" i="12"/>
  <c r="AE39" i="12"/>
  <c r="F40" i="12"/>
  <c r="H40" i="12"/>
  <c r="K40" i="12" s="1"/>
  <c r="M40" i="12" s="1"/>
  <c r="I40" i="12"/>
  <c r="AE40" i="12" s="1"/>
  <c r="J40" i="12"/>
  <c r="AF40" i="12" s="1"/>
  <c r="O40" i="12"/>
  <c r="Y40" i="12" s="1"/>
  <c r="Q40" i="12"/>
  <c r="V40" i="12"/>
  <c r="F41" i="12"/>
  <c r="K41" i="12"/>
  <c r="Y41" i="12"/>
  <c r="AD41" i="12"/>
  <c r="AE41" i="12"/>
  <c r="AF41" i="12"/>
  <c r="F42" i="12"/>
  <c r="K42" i="12"/>
  <c r="M42" i="12"/>
  <c r="Y42" i="12"/>
  <c r="Z42" i="12" s="1"/>
  <c r="AD42" i="12"/>
  <c r="AE42" i="12"/>
  <c r="AF42" i="12"/>
  <c r="F43" i="12"/>
  <c r="K43" i="12"/>
  <c r="M43" i="12"/>
  <c r="AA43" i="12" s="1"/>
  <c r="AD43" i="12"/>
  <c r="AE43" i="12"/>
  <c r="AF43" i="12"/>
  <c r="F44" i="12"/>
  <c r="K44" i="12"/>
  <c r="M44" i="12"/>
  <c r="AA44" i="12"/>
  <c r="AD44" i="12"/>
  <c r="AE44" i="12"/>
  <c r="AF44" i="12"/>
  <c r="F45" i="12"/>
  <c r="M45" i="12" s="1"/>
  <c r="K45" i="12"/>
  <c r="AD45" i="12"/>
  <c r="AE45" i="12"/>
  <c r="AF45" i="12"/>
  <c r="F46" i="12"/>
  <c r="K46" i="12"/>
  <c r="P46" i="12"/>
  <c r="C54" i="12" s="1"/>
  <c r="S46" i="12"/>
  <c r="C57" i="12" s="1"/>
  <c r="T46" i="12"/>
  <c r="C58" i="12" s="1"/>
  <c r="V46" i="12"/>
  <c r="C60" i="12" s="1"/>
  <c r="W46" i="12"/>
  <c r="C61" i="12" s="1"/>
  <c r="AD46" i="12"/>
  <c r="AE46" i="12"/>
  <c r="AF46" i="12"/>
  <c r="F47" i="12"/>
  <c r="K47" i="12"/>
  <c r="AD47" i="12"/>
  <c r="AE47" i="12"/>
  <c r="AF47" i="12"/>
  <c r="K48" i="12"/>
  <c r="M48" i="12"/>
  <c r="AD48" i="12"/>
  <c r="AE48" i="12"/>
  <c r="AF48" i="12"/>
  <c r="C49" i="12"/>
  <c r="D49" i="12"/>
  <c r="E49" i="12"/>
  <c r="J49" i="12"/>
  <c r="F14" i="11"/>
  <c r="K14" i="11"/>
  <c r="M14" i="11"/>
  <c r="F15" i="11"/>
  <c r="F49" i="11" s="1"/>
  <c r="K15" i="11"/>
  <c r="F16" i="11"/>
  <c r="K16" i="11"/>
  <c r="F17" i="11"/>
  <c r="H17" i="11"/>
  <c r="K17" i="11" s="1"/>
  <c r="M17" i="11" s="1"/>
  <c r="I17" i="11"/>
  <c r="P17" i="11" s="1"/>
  <c r="J17" i="11"/>
  <c r="Q17" i="11" s="1"/>
  <c r="O17" i="11"/>
  <c r="F18" i="11"/>
  <c r="M18" i="11" s="1"/>
  <c r="K18" i="11"/>
  <c r="O18" i="11"/>
  <c r="P18" i="11"/>
  <c r="Q18" i="11"/>
  <c r="F19" i="11"/>
  <c r="K19" i="11"/>
  <c r="M19" i="11"/>
  <c r="O19" i="11"/>
  <c r="P19" i="11"/>
  <c r="Q19" i="11"/>
  <c r="F20" i="11"/>
  <c r="H20" i="11"/>
  <c r="O20" i="11" s="1"/>
  <c r="I20" i="11"/>
  <c r="P20" i="11"/>
  <c r="Q20" i="11"/>
  <c r="F21" i="11"/>
  <c r="M21" i="11" s="1"/>
  <c r="K21" i="11"/>
  <c r="O21" i="11"/>
  <c r="P21" i="11"/>
  <c r="Q21" i="11"/>
  <c r="F22" i="11"/>
  <c r="K22" i="11"/>
  <c r="M22" i="11"/>
  <c r="O22" i="11"/>
  <c r="P22" i="11"/>
  <c r="Q22" i="11"/>
  <c r="F23" i="11"/>
  <c r="K23" i="11"/>
  <c r="O23" i="11"/>
  <c r="P23" i="11"/>
  <c r="Q23" i="11"/>
  <c r="F24" i="11"/>
  <c r="H24" i="11"/>
  <c r="I24" i="11"/>
  <c r="P24" i="11" s="1"/>
  <c r="K24" i="11"/>
  <c r="M24" i="11" s="1"/>
  <c r="O24" i="11"/>
  <c r="Q24" i="11"/>
  <c r="F25" i="11"/>
  <c r="J25" i="11"/>
  <c r="K25" i="11"/>
  <c r="M25" i="11" s="1"/>
  <c r="O25" i="11"/>
  <c r="P25" i="11"/>
  <c r="Q25" i="11"/>
  <c r="F26" i="11"/>
  <c r="M26" i="11" s="1"/>
  <c r="K26" i="11"/>
  <c r="O26" i="11"/>
  <c r="P26" i="11"/>
  <c r="Q26" i="11"/>
  <c r="F27" i="11"/>
  <c r="H27" i="11"/>
  <c r="I27" i="11"/>
  <c r="P27" i="11"/>
  <c r="Q27" i="11"/>
  <c r="F28" i="11"/>
  <c r="K28" i="11"/>
  <c r="M28" i="11"/>
  <c r="O28" i="11"/>
  <c r="P28" i="11"/>
  <c r="Q28" i="11"/>
  <c r="F29" i="11"/>
  <c r="M29" i="11" s="1"/>
  <c r="K29" i="11"/>
  <c r="O29" i="11"/>
  <c r="P29" i="11"/>
  <c r="Q29" i="11"/>
  <c r="F30" i="11"/>
  <c r="K30" i="11"/>
  <c r="M30" i="11"/>
  <c r="O30" i="11"/>
  <c r="P30" i="11"/>
  <c r="Q30" i="11"/>
  <c r="F31" i="11"/>
  <c r="M31" i="11" s="1"/>
  <c r="K31" i="11"/>
  <c r="O31" i="11"/>
  <c r="P31" i="11"/>
  <c r="Q31" i="11"/>
  <c r="F32" i="11"/>
  <c r="H32" i="11"/>
  <c r="K32" i="11" s="1"/>
  <c r="M32" i="11" s="1"/>
  <c r="I32" i="11"/>
  <c r="P32" i="11" s="1"/>
  <c r="Q32" i="11"/>
  <c r="F33" i="11"/>
  <c r="H33" i="11"/>
  <c r="I33" i="11"/>
  <c r="P33" i="11" s="1"/>
  <c r="Q33" i="11"/>
  <c r="F34" i="11"/>
  <c r="H34" i="11"/>
  <c r="K34" i="11" s="1"/>
  <c r="M34" i="11" s="1"/>
  <c r="I34" i="11"/>
  <c r="P34" i="11" s="1"/>
  <c r="Q34" i="11"/>
  <c r="F35" i="11"/>
  <c r="K35" i="11"/>
  <c r="M35" i="11"/>
  <c r="O35" i="11"/>
  <c r="P35" i="11"/>
  <c r="Q35" i="11"/>
  <c r="F36" i="11"/>
  <c r="M36" i="11" s="1"/>
  <c r="K36" i="11"/>
  <c r="O36" i="11"/>
  <c r="P36" i="11"/>
  <c r="Q36" i="11"/>
  <c r="F37" i="11"/>
  <c r="K37" i="11"/>
  <c r="M37" i="11"/>
  <c r="O37" i="11"/>
  <c r="P37" i="11"/>
  <c r="Q37" i="11"/>
  <c r="F38" i="11"/>
  <c r="J38" i="11"/>
  <c r="K38" i="11" s="1"/>
  <c r="O38" i="11"/>
  <c r="P38" i="11"/>
  <c r="F39" i="11"/>
  <c r="J39" i="11"/>
  <c r="K39" i="11" s="1"/>
  <c r="O39" i="11"/>
  <c r="P39" i="11"/>
  <c r="F40" i="11"/>
  <c r="H40" i="11"/>
  <c r="I40" i="11"/>
  <c r="P40" i="11" s="1"/>
  <c r="J40" i="11"/>
  <c r="Q40" i="11" s="1"/>
  <c r="O40" i="11"/>
  <c r="F41" i="11"/>
  <c r="M41" i="11" s="1"/>
  <c r="J41" i="11"/>
  <c r="K41" i="11" s="1"/>
  <c r="O41" i="11"/>
  <c r="P41" i="11"/>
  <c r="F42" i="11"/>
  <c r="K42" i="11"/>
  <c r="M42" i="11"/>
  <c r="O42" i="11"/>
  <c r="P42" i="11"/>
  <c r="Q42" i="11"/>
  <c r="F43" i="11"/>
  <c r="K43" i="11"/>
  <c r="O43" i="11"/>
  <c r="P43" i="11"/>
  <c r="Q43" i="11"/>
  <c r="F44" i="11"/>
  <c r="K44" i="11"/>
  <c r="M44" i="11"/>
  <c r="O44" i="11"/>
  <c r="P44" i="11"/>
  <c r="Q44" i="11"/>
  <c r="F45" i="11"/>
  <c r="M45" i="11" s="1"/>
  <c r="K45" i="11"/>
  <c r="O45" i="11"/>
  <c r="P45" i="11"/>
  <c r="Q45" i="11"/>
  <c r="F46" i="11"/>
  <c r="K46" i="11"/>
  <c r="M46" i="11"/>
  <c r="O46" i="11"/>
  <c r="P46" i="11"/>
  <c r="Q46" i="11"/>
  <c r="F47" i="11"/>
  <c r="M47" i="11" s="1"/>
  <c r="K47" i="11"/>
  <c r="O47" i="11"/>
  <c r="P47" i="11"/>
  <c r="Q47" i="11"/>
  <c r="K48" i="11"/>
  <c r="M48" i="11"/>
  <c r="C49" i="11"/>
  <c r="D49" i="11"/>
  <c r="E49" i="11"/>
  <c r="C53" i="11"/>
  <c r="C54" i="11"/>
  <c r="C55" i="11"/>
  <c r="F13" i="10"/>
  <c r="M13" i="10" s="1"/>
  <c r="K13" i="10"/>
  <c r="F14" i="10"/>
  <c r="M14" i="10" s="1"/>
  <c r="K14" i="10"/>
  <c r="F15" i="10"/>
  <c r="K15" i="10"/>
  <c r="M15" i="10" s="1"/>
  <c r="F16" i="10"/>
  <c r="H16" i="10"/>
  <c r="W16" i="10" s="1"/>
  <c r="I16" i="10"/>
  <c r="K16" i="10" s="1"/>
  <c r="J16" i="10"/>
  <c r="O16" i="10"/>
  <c r="V16" i="10" s="1"/>
  <c r="P16" i="10"/>
  <c r="X16" i="10"/>
  <c r="Y16" i="10"/>
  <c r="F17" i="10"/>
  <c r="K17" i="10"/>
  <c r="M17" i="10"/>
  <c r="W17" i="10"/>
  <c r="X17" i="10"/>
  <c r="Y17" i="10"/>
  <c r="F18" i="10"/>
  <c r="K18" i="10"/>
  <c r="W18" i="10"/>
  <c r="X18" i="10"/>
  <c r="Y18" i="10"/>
  <c r="F19" i="10"/>
  <c r="H19" i="10"/>
  <c r="I19" i="10"/>
  <c r="J19" i="10"/>
  <c r="Q19" i="10"/>
  <c r="V19" i="10" s="1"/>
  <c r="W19" i="10"/>
  <c r="Y19" i="10"/>
  <c r="F20" i="10"/>
  <c r="M20" i="10" s="1"/>
  <c r="K20" i="10"/>
  <c r="W20" i="10"/>
  <c r="X20" i="10"/>
  <c r="Y20" i="10"/>
  <c r="F21" i="10"/>
  <c r="K21" i="10"/>
  <c r="M21" i="10" s="1"/>
  <c r="W21" i="10"/>
  <c r="X21" i="10"/>
  <c r="Y21" i="10"/>
  <c r="F22" i="10"/>
  <c r="M22" i="10" s="1"/>
  <c r="K22" i="10"/>
  <c r="W22" i="10"/>
  <c r="X22" i="10"/>
  <c r="Y22" i="10"/>
  <c r="F23" i="10"/>
  <c r="H23" i="10"/>
  <c r="W23" i="10" s="1"/>
  <c r="I23" i="10"/>
  <c r="J23" i="10"/>
  <c r="O23" i="10"/>
  <c r="P23" i="10"/>
  <c r="X23" i="10"/>
  <c r="Y23" i="10"/>
  <c r="F24" i="10"/>
  <c r="J24" i="10"/>
  <c r="K24" i="10" s="1"/>
  <c r="M24" i="10" s="1"/>
  <c r="W24" i="10"/>
  <c r="X24" i="10"/>
  <c r="F25" i="10"/>
  <c r="K25" i="10"/>
  <c r="M25" i="10"/>
  <c r="W25" i="10"/>
  <c r="X25" i="10"/>
  <c r="Y25" i="10"/>
  <c r="F26" i="10"/>
  <c r="M26" i="10" s="1"/>
  <c r="H26" i="10"/>
  <c r="I26" i="10"/>
  <c r="X26" i="10" s="1"/>
  <c r="J26" i="10"/>
  <c r="K26" i="10"/>
  <c r="O26" i="10"/>
  <c r="V26" i="10" s="1"/>
  <c r="W26" i="10"/>
  <c r="Y26" i="10"/>
  <c r="F27" i="10"/>
  <c r="K27" i="10"/>
  <c r="M27" i="10" s="1"/>
  <c r="W27" i="10"/>
  <c r="X27" i="10"/>
  <c r="Y27" i="10"/>
  <c r="F28" i="10"/>
  <c r="M28" i="10" s="1"/>
  <c r="K28" i="10"/>
  <c r="W28" i="10"/>
  <c r="X28" i="10"/>
  <c r="Y28" i="10"/>
  <c r="F29" i="10"/>
  <c r="K29" i="10"/>
  <c r="M29" i="10" s="1"/>
  <c r="W29" i="10"/>
  <c r="X29" i="10"/>
  <c r="Y29" i="10"/>
  <c r="F30" i="10"/>
  <c r="M30" i="10" s="1"/>
  <c r="K30" i="10"/>
  <c r="W30" i="10"/>
  <c r="X30" i="10"/>
  <c r="Y30" i="10"/>
  <c r="F33" i="10"/>
  <c r="H33" i="10"/>
  <c r="W33" i="10" s="1"/>
  <c r="I33" i="10"/>
  <c r="J33" i="10"/>
  <c r="Y33" i="10" s="1"/>
  <c r="O33" i="10"/>
  <c r="P33" i="10"/>
  <c r="R33" i="10"/>
  <c r="V33" i="10"/>
  <c r="X33" i="10"/>
  <c r="F34" i="10"/>
  <c r="H34" i="10"/>
  <c r="I34" i="10"/>
  <c r="J34" i="10"/>
  <c r="K34" i="10"/>
  <c r="O34" i="10"/>
  <c r="P34" i="10"/>
  <c r="V34" i="10"/>
  <c r="W34" i="10"/>
  <c r="X34" i="10"/>
  <c r="Y34" i="10"/>
  <c r="F35" i="10"/>
  <c r="M35" i="10" s="1"/>
  <c r="H35" i="10"/>
  <c r="I35" i="10"/>
  <c r="X35" i="10" s="1"/>
  <c r="J35" i="10"/>
  <c r="K35" i="10"/>
  <c r="O35" i="10"/>
  <c r="V35" i="10" s="1"/>
  <c r="W35" i="10"/>
  <c r="Y35" i="10"/>
  <c r="F36" i="10"/>
  <c r="K36" i="10"/>
  <c r="M36" i="10" s="1"/>
  <c r="W36" i="10"/>
  <c r="X36" i="10"/>
  <c r="Y36" i="10"/>
  <c r="F37" i="10"/>
  <c r="M37" i="10" s="1"/>
  <c r="K37" i="10"/>
  <c r="W37" i="10"/>
  <c r="X37" i="10"/>
  <c r="Y37" i="10"/>
  <c r="F38" i="10"/>
  <c r="K38" i="10"/>
  <c r="M38" i="10" s="1"/>
  <c r="W38" i="10"/>
  <c r="X38" i="10"/>
  <c r="Y38" i="10"/>
  <c r="F39" i="10"/>
  <c r="J39" i="10"/>
  <c r="Y39" i="10" s="1"/>
  <c r="S39" i="10"/>
  <c r="V39" i="10"/>
  <c r="W39" i="10"/>
  <c r="X39" i="10"/>
  <c r="F40" i="10"/>
  <c r="J40" i="10"/>
  <c r="K40" i="10"/>
  <c r="O40" i="10"/>
  <c r="U40" i="10"/>
  <c r="V40" i="10"/>
  <c r="W40" i="10"/>
  <c r="X40" i="10"/>
  <c r="Y40" i="10"/>
  <c r="F41" i="10"/>
  <c r="M41" i="10" s="1"/>
  <c r="H41" i="10"/>
  <c r="I41" i="10"/>
  <c r="X41" i="10" s="1"/>
  <c r="J41" i="10"/>
  <c r="K41" i="10"/>
  <c r="O41" i="10"/>
  <c r="P41" i="10"/>
  <c r="T41" i="10"/>
  <c r="T45" i="10" s="1"/>
  <c r="T47" i="10" s="1"/>
  <c r="W41" i="10"/>
  <c r="Y41" i="10"/>
  <c r="F42" i="10"/>
  <c r="K42" i="10"/>
  <c r="M42" i="10" s="1"/>
  <c r="W42" i="10"/>
  <c r="X42" i="10"/>
  <c r="Y42" i="10"/>
  <c r="F43" i="10"/>
  <c r="M43" i="10" s="1"/>
  <c r="K43" i="10"/>
  <c r="W43" i="10"/>
  <c r="X43" i="10"/>
  <c r="Y43" i="10"/>
  <c r="F44" i="10"/>
  <c r="K44" i="10"/>
  <c r="M44" i="10" s="1"/>
  <c r="W44" i="10"/>
  <c r="X44" i="10"/>
  <c r="Y44" i="10"/>
  <c r="F45" i="10"/>
  <c r="M45" i="10" s="1"/>
  <c r="K45" i="10"/>
  <c r="P45" i="10"/>
  <c r="R45" i="10"/>
  <c r="S45" i="10"/>
  <c r="U45" i="10"/>
  <c r="W45" i="10"/>
  <c r="X45" i="10"/>
  <c r="Y45" i="10"/>
  <c r="F46" i="10"/>
  <c r="K46" i="10"/>
  <c r="M46" i="10" s="1"/>
  <c r="W46" i="10"/>
  <c r="X46" i="10"/>
  <c r="Y46" i="10"/>
  <c r="F47" i="10"/>
  <c r="M47" i="10" s="1"/>
  <c r="K47" i="10"/>
  <c r="W47" i="10"/>
  <c r="X47" i="10"/>
  <c r="Y47" i="10"/>
  <c r="F48" i="10"/>
  <c r="K48" i="10"/>
  <c r="W48" i="10"/>
  <c r="X48" i="10"/>
  <c r="Y48" i="10"/>
  <c r="K49" i="10"/>
  <c r="M49" i="10"/>
  <c r="C50" i="10"/>
  <c r="D50" i="10"/>
  <c r="E50" i="10"/>
  <c r="I50" i="10"/>
  <c r="C54" i="10"/>
  <c r="N51" i="10" s="1"/>
  <c r="C55" i="10"/>
  <c r="C56" i="10"/>
  <c r="C57" i="10"/>
  <c r="C58" i="10"/>
  <c r="C59" i="10"/>
  <c r="C60" i="10"/>
  <c r="R47" i="10" s="1"/>
  <c r="F14" i="9"/>
  <c r="M14" i="9" s="1"/>
  <c r="K14" i="9"/>
  <c r="F15" i="9"/>
  <c r="M15" i="9" s="1"/>
  <c r="K15" i="9"/>
  <c r="F16" i="9"/>
  <c r="K16" i="9"/>
  <c r="M16" i="9" s="1"/>
  <c r="O16" i="9"/>
  <c r="P16" i="9"/>
  <c r="V16" i="9"/>
  <c r="F17" i="9"/>
  <c r="H17" i="9"/>
  <c r="K17" i="9" s="1"/>
  <c r="I17" i="9"/>
  <c r="J17" i="9"/>
  <c r="Z17" i="9" s="1"/>
  <c r="Y17" i="9"/>
  <c r="F18" i="9"/>
  <c r="K18" i="9"/>
  <c r="M18" i="9"/>
  <c r="X18" i="9"/>
  <c r="Y18" i="9"/>
  <c r="Z18" i="9"/>
  <c r="F19" i="9"/>
  <c r="K19" i="9"/>
  <c r="X19" i="9"/>
  <c r="Y19" i="9"/>
  <c r="Z19" i="9"/>
  <c r="F20" i="9"/>
  <c r="H20" i="9"/>
  <c r="K20" i="9" s="1"/>
  <c r="M20" i="9" s="1"/>
  <c r="I20" i="9"/>
  <c r="X20" i="9"/>
  <c r="Y20" i="9"/>
  <c r="Z20" i="9"/>
  <c r="F21" i="9"/>
  <c r="K21" i="9"/>
  <c r="M21" i="9" s="1"/>
  <c r="X21" i="9"/>
  <c r="Y21" i="9"/>
  <c r="Z21" i="9"/>
  <c r="F22" i="9"/>
  <c r="K22" i="9"/>
  <c r="X22" i="9"/>
  <c r="Y22" i="9"/>
  <c r="Z22" i="9"/>
  <c r="F23" i="9"/>
  <c r="K23" i="9"/>
  <c r="M23" i="9" s="1"/>
  <c r="O23" i="9"/>
  <c r="P23" i="9"/>
  <c r="V23" i="9"/>
  <c r="X23" i="9"/>
  <c r="Y23" i="9"/>
  <c r="Z23" i="9"/>
  <c r="F24" i="9"/>
  <c r="H24" i="9"/>
  <c r="K24" i="9" s="1"/>
  <c r="I24" i="9"/>
  <c r="J24" i="9"/>
  <c r="Z24" i="9" s="1"/>
  <c r="Y24" i="9"/>
  <c r="F25" i="9"/>
  <c r="J25" i="9"/>
  <c r="K25" i="9"/>
  <c r="W25" i="9" s="1"/>
  <c r="X25" i="9"/>
  <c r="Y25" i="9"/>
  <c r="Z25" i="9"/>
  <c r="F26" i="9"/>
  <c r="K26" i="9"/>
  <c r="M26" i="9"/>
  <c r="O26" i="9"/>
  <c r="V26" i="9" s="1"/>
  <c r="Q26" i="9"/>
  <c r="X26" i="9"/>
  <c r="Y26" i="9"/>
  <c r="Z26" i="9"/>
  <c r="F27" i="9"/>
  <c r="H27" i="9"/>
  <c r="I27" i="9"/>
  <c r="Y27" i="9" s="1"/>
  <c r="J27" i="9"/>
  <c r="K27" i="9"/>
  <c r="W26" i="9" s="1"/>
  <c r="X27" i="9"/>
  <c r="Z27" i="9"/>
  <c r="F28" i="9"/>
  <c r="M28" i="9" s="1"/>
  <c r="K28" i="9"/>
  <c r="X28" i="9"/>
  <c r="Y28" i="9"/>
  <c r="Z28" i="9"/>
  <c r="F29" i="9"/>
  <c r="K29" i="9"/>
  <c r="M29" i="9" s="1"/>
  <c r="X29" i="9"/>
  <c r="Y29" i="9"/>
  <c r="Z29" i="9"/>
  <c r="F30" i="9"/>
  <c r="K30" i="9"/>
  <c r="X30" i="9"/>
  <c r="Y30" i="9"/>
  <c r="Z30" i="9"/>
  <c r="F31" i="9"/>
  <c r="K31" i="9"/>
  <c r="M31" i="9" s="1"/>
  <c r="X31" i="9"/>
  <c r="Y31" i="9"/>
  <c r="Z31" i="9"/>
  <c r="F32" i="9"/>
  <c r="H32" i="9"/>
  <c r="K32" i="9" s="1"/>
  <c r="I32" i="9"/>
  <c r="J32" i="9"/>
  <c r="Z32" i="9" s="1"/>
  <c r="O32" i="9"/>
  <c r="P32" i="9"/>
  <c r="V32" i="9" s="1"/>
  <c r="Y32" i="9"/>
  <c r="F33" i="9"/>
  <c r="H33" i="9"/>
  <c r="X33" i="9" s="1"/>
  <c r="I33" i="9"/>
  <c r="Y33" i="9" s="1"/>
  <c r="J33" i="9"/>
  <c r="O33" i="9"/>
  <c r="V33" i="9" s="1"/>
  <c r="P33" i="9"/>
  <c r="Z33" i="9"/>
  <c r="F34" i="9"/>
  <c r="H34" i="9"/>
  <c r="X34" i="9" s="1"/>
  <c r="I34" i="9"/>
  <c r="J34" i="9"/>
  <c r="Z34" i="9" s="1"/>
  <c r="Y34" i="9"/>
  <c r="F35" i="9"/>
  <c r="M35" i="9" s="1"/>
  <c r="K35" i="9"/>
  <c r="O35" i="9"/>
  <c r="V35" i="9"/>
  <c r="X35" i="9"/>
  <c r="Y35" i="9"/>
  <c r="Z35" i="9"/>
  <c r="F36" i="9"/>
  <c r="M36" i="9" s="1"/>
  <c r="K36" i="9"/>
  <c r="X36" i="9"/>
  <c r="Y36" i="9"/>
  <c r="Z36" i="9"/>
  <c r="F37" i="9"/>
  <c r="K37" i="9"/>
  <c r="M37" i="9" s="1"/>
  <c r="X37" i="9"/>
  <c r="Y37" i="9"/>
  <c r="Z37" i="9"/>
  <c r="F38" i="9"/>
  <c r="J38" i="9"/>
  <c r="K38" i="9" s="1"/>
  <c r="R38" i="9"/>
  <c r="S38" i="9"/>
  <c r="X38" i="9"/>
  <c r="Y38" i="9"/>
  <c r="F39" i="9"/>
  <c r="M39" i="9" s="1"/>
  <c r="J39" i="9"/>
  <c r="K39" i="9"/>
  <c r="T39" i="9"/>
  <c r="V39" i="9" s="1"/>
  <c r="X39" i="9"/>
  <c r="Y39" i="9"/>
  <c r="Z39" i="9"/>
  <c r="F40" i="9"/>
  <c r="H40" i="9"/>
  <c r="K40" i="9" s="1"/>
  <c r="I40" i="9"/>
  <c r="J40" i="9"/>
  <c r="Z40" i="9" s="1"/>
  <c r="O40" i="9"/>
  <c r="P40" i="9"/>
  <c r="T40" i="9"/>
  <c r="U40" i="9"/>
  <c r="C58" i="9" s="1"/>
  <c r="W40" i="9"/>
  <c r="Y40" i="9"/>
  <c r="F41" i="9"/>
  <c r="M41" i="9" s="1"/>
  <c r="K41" i="9"/>
  <c r="X41" i="9"/>
  <c r="Y41" i="9"/>
  <c r="Z41" i="9"/>
  <c r="F42" i="9"/>
  <c r="K42" i="9"/>
  <c r="M42" i="9" s="1"/>
  <c r="X42" i="9"/>
  <c r="Y42" i="9"/>
  <c r="Z42" i="9"/>
  <c r="F43" i="9"/>
  <c r="K43" i="9"/>
  <c r="X43" i="9"/>
  <c r="Y43" i="9"/>
  <c r="Z43" i="9"/>
  <c r="F44" i="9"/>
  <c r="K44" i="9"/>
  <c r="M44" i="9" s="1"/>
  <c r="X44" i="9"/>
  <c r="Y44" i="9"/>
  <c r="Z44" i="9"/>
  <c r="F45" i="9"/>
  <c r="K45" i="9"/>
  <c r="M45" i="9" s="1"/>
  <c r="X45" i="9"/>
  <c r="Y45" i="9"/>
  <c r="Z45" i="9"/>
  <c r="F46" i="9"/>
  <c r="K46" i="9"/>
  <c r="X46" i="9"/>
  <c r="Y46" i="9"/>
  <c r="Z46" i="9"/>
  <c r="F47" i="9"/>
  <c r="K47" i="9"/>
  <c r="M47" i="9" s="1"/>
  <c r="X47" i="9"/>
  <c r="Y47" i="9"/>
  <c r="Z47" i="9"/>
  <c r="K48" i="9"/>
  <c r="M48" i="9"/>
  <c r="C49" i="9"/>
  <c r="D49" i="9"/>
  <c r="E49" i="9"/>
  <c r="I49" i="9"/>
  <c r="C53" i="9"/>
  <c r="C54" i="9"/>
  <c r="C55" i="9"/>
  <c r="C56" i="9"/>
  <c r="C57" i="9"/>
  <c r="F14" i="8"/>
  <c r="K14" i="8"/>
  <c r="M14" i="8" s="1"/>
  <c r="F15" i="8"/>
  <c r="M15" i="8" s="1"/>
  <c r="K15" i="8"/>
  <c r="F16" i="8"/>
  <c r="K16" i="8"/>
  <c r="F17" i="8"/>
  <c r="H17" i="8"/>
  <c r="I17" i="8"/>
  <c r="Q17" i="8" s="1"/>
  <c r="J17" i="8"/>
  <c r="P17" i="8"/>
  <c r="R17" i="8"/>
  <c r="F18" i="8"/>
  <c r="K18" i="8"/>
  <c r="M18" i="8" s="1"/>
  <c r="P18" i="8"/>
  <c r="Q18" i="8"/>
  <c r="R18" i="8"/>
  <c r="F19" i="8"/>
  <c r="M19" i="8" s="1"/>
  <c r="K19" i="8"/>
  <c r="P19" i="8"/>
  <c r="Q19" i="8"/>
  <c r="R19" i="8"/>
  <c r="F20" i="8"/>
  <c r="H20" i="8"/>
  <c r="K20" i="8" s="1"/>
  <c r="M20" i="8" s="1"/>
  <c r="I20" i="8"/>
  <c r="P20" i="8"/>
  <c r="Q20" i="8"/>
  <c r="R20" i="8"/>
  <c r="F21" i="8"/>
  <c r="K21" i="8"/>
  <c r="M21" i="8" s="1"/>
  <c r="P21" i="8"/>
  <c r="Q21" i="8"/>
  <c r="R21" i="8"/>
  <c r="F22" i="8"/>
  <c r="M22" i="8" s="1"/>
  <c r="K22" i="8"/>
  <c r="P22" i="8"/>
  <c r="Q22" i="8"/>
  <c r="R22" i="8"/>
  <c r="F23" i="8"/>
  <c r="K23" i="8"/>
  <c r="M23" i="8" s="1"/>
  <c r="P23" i="8"/>
  <c r="Q23" i="8"/>
  <c r="R23" i="8"/>
  <c r="F24" i="8"/>
  <c r="H24" i="8"/>
  <c r="I24" i="8"/>
  <c r="J24" i="8"/>
  <c r="R24" i="8" s="1"/>
  <c r="Q24" i="8"/>
  <c r="F25" i="8"/>
  <c r="J25" i="8"/>
  <c r="K25" i="8"/>
  <c r="P25" i="8"/>
  <c r="Q25" i="8"/>
  <c r="R25" i="8"/>
  <c r="F26" i="8"/>
  <c r="K26" i="8"/>
  <c r="M26" i="8" s="1"/>
  <c r="P26" i="8"/>
  <c r="Q26" i="8"/>
  <c r="R26" i="8"/>
  <c r="F27" i="8"/>
  <c r="H27" i="8"/>
  <c r="P27" i="8" s="1"/>
  <c r="I27" i="8"/>
  <c r="J27" i="8"/>
  <c r="R27" i="8" s="1"/>
  <c r="Q27" i="8"/>
  <c r="F28" i="8"/>
  <c r="M28" i="8" s="1"/>
  <c r="K28" i="8"/>
  <c r="P28" i="8"/>
  <c r="Q28" i="8"/>
  <c r="R28" i="8"/>
  <c r="F29" i="8"/>
  <c r="K29" i="8"/>
  <c r="M29" i="8"/>
  <c r="P29" i="8"/>
  <c r="Q29" i="8"/>
  <c r="R29" i="8"/>
  <c r="F30" i="8"/>
  <c r="K30" i="8"/>
  <c r="P30" i="8"/>
  <c r="Q30" i="8"/>
  <c r="R30" i="8"/>
  <c r="F31" i="8"/>
  <c r="K31" i="8"/>
  <c r="M31" i="8"/>
  <c r="P31" i="8"/>
  <c r="Q31" i="8"/>
  <c r="R31" i="8"/>
  <c r="F32" i="8"/>
  <c r="H32" i="8"/>
  <c r="I32" i="8"/>
  <c r="Q32" i="8" s="1"/>
  <c r="J32" i="8"/>
  <c r="K32" i="8"/>
  <c r="P32" i="8"/>
  <c r="R32" i="8"/>
  <c r="F33" i="8"/>
  <c r="H33" i="8"/>
  <c r="K33" i="8" s="1"/>
  <c r="M33" i="8" s="1"/>
  <c r="I33" i="8"/>
  <c r="J33" i="8"/>
  <c r="R33" i="8" s="1"/>
  <c r="Q33" i="8"/>
  <c r="F34" i="8"/>
  <c r="H34" i="8"/>
  <c r="I34" i="8"/>
  <c r="Q34" i="8" s="1"/>
  <c r="J34" i="8"/>
  <c r="P34" i="8"/>
  <c r="R34" i="8"/>
  <c r="F35" i="8"/>
  <c r="M35" i="8" s="1"/>
  <c r="K35" i="8"/>
  <c r="P35" i="8"/>
  <c r="Q35" i="8"/>
  <c r="R35" i="8"/>
  <c r="F36" i="8"/>
  <c r="K36" i="8"/>
  <c r="M36" i="8" s="1"/>
  <c r="P36" i="8"/>
  <c r="Q36" i="8"/>
  <c r="R36" i="8"/>
  <c r="F37" i="8"/>
  <c r="M37" i="8" s="1"/>
  <c r="K37" i="8"/>
  <c r="P37" i="8"/>
  <c r="Q37" i="8"/>
  <c r="R37" i="8"/>
  <c r="F38" i="8"/>
  <c r="J38" i="8"/>
  <c r="K38" i="8" s="1"/>
  <c r="M38" i="8" s="1"/>
  <c r="P38" i="8"/>
  <c r="Q38" i="8"/>
  <c r="F39" i="8"/>
  <c r="J39" i="8"/>
  <c r="K39" i="8"/>
  <c r="P39" i="8"/>
  <c r="Q39" i="8"/>
  <c r="R39" i="8"/>
  <c r="F40" i="8"/>
  <c r="H40" i="8"/>
  <c r="P40" i="8" s="1"/>
  <c r="I40" i="8"/>
  <c r="J40" i="8"/>
  <c r="R40" i="8" s="1"/>
  <c r="Q40" i="8"/>
  <c r="F41" i="8"/>
  <c r="M41" i="8" s="1"/>
  <c r="K41" i="8"/>
  <c r="P41" i="8"/>
  <c r="Q41" i="8"/>
  <c r="R41" i="8"/>
  <c r="F42" i="8"/>
  <c r="K42" i="8"/>
  <c r="M42" i="8"/>
  <c r="P42" i="8"/>
  <c r="Q42" i="8"/>
  <c r="R42" i="8"/>
  <c r="F43" i="8"/>
  <c r="M43" i="8" s="1"/>
  <c r="K43" i="8"/>
  <c r="P43" i="8"/>
  <c r="Q43" i="8"/>
  <c r="R43" i="8"/>
  <c r="F44" i="8"/>
  <c r="K44" i="8"/>
  <c r="M44" i="8"/>
  <c r="P44" i="8"/>
  <c r="Q44" i="8"/>
  <c r="R44" i="8"/>
  <c r="F45" i="8"/>
  <c r="K45" i="8"/>
  <c r="P45" i="8"/>
  <c r="Q45" i="8"/>
  <c r="R45" i="8"/>
  <c r="F46" i="8"/>
  <c r="K46" i="8"/>
  <c r="M46" i="8"/>
  <c r="P46" i="8"/>
  <c r="Q46" i="8"/>
  <c r="R46" i="8"/>
  <c r="F47" i="8"/>
  <c r="M47" i="8" s="1"/>
  <c r="K47" i="8"/>
  <c r="P47" i="8"/>
  <c r="Q47" i="8"/>
  <c r="R47" i="8"/>
  <c r="K48" i="8"/>
  <c r="M48" i="8" s="1"/>
  <c r="C49" i="8"/>
  <c r="D49" i="8"/>
  <c r="E49" i="8"/>
  <c r="H49" i="8"/>
  <c r="C53" i="8"/>
  <c r="C54" i="8"/>
  <c r="C55" i="8"/>
  <c r="C56" i="8"/>
  <c r="F14" i="7"/>
  <c r="K14" i="7"/>
  <c r="F15" i="7"/>
  <c r="M15" i="7" s="1"/>
  <c r="K15" i="7"/>
  <c r="F16" i="7"/>
  <c r="K16" i="7"/>
  <c r="M16" i="7" s="1"/>
  <c r="F17" i="7"/>
  <c r="H17" i="7"/>
  <c r="I17" i="7"/>
  <c r="J17" i="7"/>
  <c r="O17" i="7"/>
  <c r="Q17" i="7" s="1"/>
  <c r="P17" i="7"/>
  <c r="T17" i="7"/>
  <c r="V17" i="7"/>
  <c r="F18" i="7"/>
  <c r="K18" i="7"/>
  <c r="M18" i="7"/>
  <c r="T18" i="7"/>
  <c r="U18" i="7"/>
  <c r="V18" i="7"/>
  <c r="F19" i="7"/>
  <c r="M19" i="7" s="1"/>
  <c r="K19" i="7"/>
  <c r="T19" i="7"/>
  <c r="U19" i="7"/>
  <c r="V19" i="7"/>
  <c r="F20" i="7"/>
  <c r="H20" i="7"/>
  <c r="K20" i="7" s="1"/>
  <c r="M20" i="7" s="1"/>
  <c r="I20" i="7"/>
  <c r="T20" i="7"/>
  <c r="U20" i="7"/>
  <c r="V20" i="7"/>
  <c r="F21" i="7"/>
  <c r="K21" i="7"/>
  <c r="M21" i="7"/>
  <c r="T21" i="7"/>
  <c r="U21" i="7"/>
  <c r="V21" i="7"/>
  <c r="F22" i="7"/>
  <c r="M22" i="7" s="1"/>
  <c r="K22" i="7"/>
  <c r="T22" i="7"/>
  <c r="U22" i="7"/>
  <c r="V22" i="7"/>
  <c r="F23" i="7"/>
  <c r="K23" i="7"/>
  <c r="M23" i="7"/>
  <c r="T23" i="7"/>
  <c r="U23" i="7"/>
  <c r="V23" i="7"/>
  <c r="F24" i="7"/>
  <c r="H24" i="7"/>
  <c r="T24" i="7" s="1"/>
  <c r="I24" i="7"/>
  <c r="J24" i="7"/>
  <c r="K24" i="7"/>
  <c r="O24" i="7"/>
  <c r="P24" i="7"/>
  <c r="Q24" i="7"/>
  <c r="U24" i="7"/>
  <c r="V24" i="7"/>
  <c r="F25" i="7"/>
  <c r="M25" i="7" s="1"/>
  <c r="H25" i="7"/>
  <c r="I25" i="7"/>
  <c r="J25" i="7"/>
  <c r="K25" i="7"/>
  <c r="O25" i="7"/>
  <c r="P25" i="7"/>
  <c r="C55" i="7" s="1"/>
  <c r="Q25" i="7"/>
  <c r="T25" i="7"/>
  <c r="U25" i="7"/>
  <c r="V25" i="7"/>
  <c r="F26" i="7"/>
  <c r="K26" i="7"/>
  <c r="T26" i="7"/>
  <c r="U26" i="7"/>
  <c r="V26" i="7"/>
  <c r="F27" i="7"/>
  <c r="H27" i="7"/>
  <c r="I27" i="7"/>
  <c r="K27" i="7" s="1"/>
  <c r="J27" i="7"/>
  <c r="O27" i="7"/>
  <c r="Q27" i="7" s="1"/>
  <c r="T27" i="7"/>
  <c r="V27" i="7"/>
  <c r="F28" i="7"/>
  <c r="M28" i="7" s="1"/>
  <c r="K28" i="7"/>
  <c r="T28" i="7"/>
  <c r="U28" i="7"/>
  <c r="V28" i="7"/>
  <c r="F29" i="7"/>
  <c r="K29" i="7"/>
  <c r="M29" i="7" s="1"/>
  <c r="T29" i="7"/>
  <c r="U29" i="7"/>
  <c r="V29" i="7"/>
  <c r="F30" i="7"/>
  <c r="K30" i="7"/>
  <c r="M30" i="7" s="1"/>
  <c r="T30" i="7"/>
  <c r="U30" i="7"/>
  <c r="V30" i="7"/>
  <c r="F31" i="7"/>
  <c r="M31" i="7" s="1"/>
  <c r="K31" i="7"/>
  <c r="T31" i="7"/>
  <c r="U31" i="7"/>
  <c r="V31" i="7"/>
  <c r="F32" i="7"/>
  <c r="H32" i="7"/>
  <c r="I32" i="7"/>
  <c r="J32" i="7"/>
  <c r="O32" i="7"/>
  <c r="Q32" i="7" s="1"/>
  <c r="P32" i="7"/>
  <c r="P45" i="7" s="1"/>
  <c r="T32" i="7"/>
  <c r="U32" i="7"/>
  <c r="F33" i="7"/>
  <c r="H33" i="7"/>
  <c r="I33" i="7"/>
  <c r="J33" i="7"/>
  <c r="V33" i="7" s="1"/>
  <c r="O33" i="7"/>
  <c r="P33" i="7"/>
  <c r="Q33" i="7" s="1"/>
  <c r="T33" i="7"/>
  <c r="U33" i="7"/>
  <c r="F34" i="7"/>
  <c r="H34" i="7"/>
  <c r="I34" i="7"/>
  <c r="J34" i="7"/>
  <c r="V34" i="7" s="1"/>
  <c r="O34" i="7"/>
  <c r="Q34" i="7"/>
  <c r="U34" i="7"/>
  <c r="F35" i="7"/>
  <c r="M35" i="7" s="1"/>
  <c r="K35" i="7"/>
  <c r="T35" i="7"/>
  <c r="U35" i="7"/>
  <c r="V35" i="7"/>
  <c r="F36" i="7"/>
  <c r="K36" i="7"/>
  <c r="M36" i="7"/>
  <c r="T36" i="7"/>
  <c r="U36" i="7"/>
  <c r="V36" i="7"/>
  <c r="F37" i="7"/>
  <c r="K37" i="7"/>
  <c r="T37" i="7"/>
  <c r="U37" i="7"/>
  <c r="V37" i="7"/>
  <c r="F38" i="7"/>
  <c r="M38" i="7" s="1"/>
  <c r="J38" i="7"/>
  <c r="V38" i="7" s="1"/>
  <c r="K38" i="7"/>
  <c r="R38" i="7"/>
  <c r="R45" i="7" s="1"/>
  <c r="T38" i="7"/>
  <c r="U38" i="7"/>
  <c r="F39" i="7"/>
  <c r="J39" i="7"/>
  <c r="K39" i="7"/>
  <c r="T39" i="7"/>
  <c r="U39" i="7"/>
  <c r="V39" i="7"/>
  <c r="F40" i="7"/>
  <c r="H40" i="7"/>
  <c r="K40" i="7" s="1"/>
  <c r="M40" i="7" s="1"/>
  <c r="I40" i="7"/>
  <c r="J40" i="7"/>
  <c r="V40" i="7" s="1"/>
  <c r="O40" i="7"/>
  <c r="P40" i="7"/>
  <c r="Q40" i="7" s="1"/>
  <c r="S40" i="7"/>
  <c r="U40" i="7"/>
  <c r="F41" i="7"/>
  <c r="K41" i="7"/>
  <c r="M41" i="7"/>
  <c r="Q41" i="7"/>
  <c r="T41" i="7"/>
  <c r="U41" i="7"/>
  <c r="V41" i="7"/>
  <c r="F42" i="7"/>
  <c r="K42" i="7"/>
  <c r="M42" i="7" s="1"/>
  <c r="T42" i="7"/>
  <c r="U42" i="7"/>
  <c r="V42" i="7"/>
  <c r="F43" i="7"/>
  <c r="K43" i="7"/>
  <c r="M43" i="7" s="1"/>
  <c r="F44" i="7"/>
  <c r="K44" i="7"/>
  <c r="F45" i="7"/>
  <c r="M45" i="7" s="1"/>
  <c r="K45" i="7"/>
  <c r="S45" i="7"/>
  <c r="F46" i="7"/>
  <c r="M46" i="7" s="1"/>
  <c r="K46" i="7"/>
  <c r="F47" i="7"/>
  <c r="K47" i="7"/>
  <c r="M47" i="7"/>
  <c r="K48" i="7"/>
  <c r="M48" i="7" s="1"/>
  <c r="C49" i="7"/>
  <c r="D49" i="7"/>
  <c r="E49" i="7"/>
  <c r="H49" i="7"/>
  <c r="C56" i="7"/>
  <c r="F14" i="6"/>
  <c r="K14" i="6"/>
  <c r="M14" i="6"/>
  <c r="F15" i="6"/>
  <c r="M15" i="6" s="1"/>
  <c r="K15" i="6"/>
  <c r="F16" i="6"/>
  <c r="K16" i="6"/>
  <c r="F17" i="6"/>
  <c r="H17" i="6"/>
  <c r="K17" i="6" s="1"/>
  <c r="I17" i="6"/>
  <c r="P17" i="6" s="1"/>
  <c r="J17" i="6"/>
  <c r="Q17" i="6" s="1"/>
  <c r="O17" i="6"/>
  <c r="F18" i="6"/>
  <c r="M18" i="6" s="1"/>
  <c r="K18" i="6"/>
  <c r="O18" i="6"/>
  <c r="P18" i="6"/>
  <c r="Q18" i="6"/>
  <c r="F19" i="6"/>
  <c r="K19" i="6"/>
  <c r="M19" i="6"/>
  <c r="O19" i="6"/>
  <c r="P19" i="6"/>
  <c r="Q19" i="6"/>
  <c r="F20" i="6"/>
  <c r="H20" i="6"/>
  <c r="O20" i="6" s="1"/>
  <c r="I20" i="6"/>
  <c r="J20" i="6"/>
  <c r="Q20" i="6" s="1"/>
  <c r="P20" i="6"/>
  <c r="F21" i="6"/>
  <c r="M21" i="6" s="1"/>
  <c r="K21" i="6"/>
  <c r="O21" i="6"/>
  <c r="P21" i="6"/>
  <c r="Q21" i="6"/>
  <c r="F22" i="6"/>
  <c r="K22" i="6"/>
  <c r="M22" i="6"/>
  <c r="O22" i="6"/>
  <c r="P22" i="6"/>
  <c r="Q22" i="6"/>
  <c r="F23" i="6"/>
  <c r="K23" i="6"/>
  <c r="O23" i="6"/>
  <c r="P23" i="6"/>
  <c r="Q23" i="6"/>
  <c r="F24" i="6"/>
  <c r="H24" i="6"/>
  <c r="I24" i="6"/>
  <c r="P24" i="6" s="1"/>
  <c r="J24" i="6"/>
  <c r="O24" i="6"/>
  <c r="Q24" i="6"/>
  <c r="F25" i="6"/>
  <c r="J25" i="6"/>
  <c r="K25" i="6" s="1"/>
  <c r="M25" i="6" s="1"/>
  <c r="O25" i="6"/>
  <c r="P25" i="6"/>
  <c r="F26" i="6"/>
  <c r="K26" i="6"/>
  <c r="M26" i="6"/>
  <c r="O26" i="6"/>
  <c r="P26" i="6"/>
  <c r="Q26" i="6"/>
  <c r="F27" i="6"/>
  <c r="M27" i="6" s="1"/>
  <c r="H27" i="6"/>
  <c r="I27" i="6"/>
  <c r="J27" i="6"/>
  <c r="K27" i="6"/>
  <c r="O27" i="6"/>
  <c r="P27" i="6"/>
  <c r="Q27" i="6"/>
  <c r="F28" i="6"/>
  <c r="M28" i="6" s="1"/>
  <c r="K28" i="6"/>
  <c r="O28" i="6"/>
  <c r="P28" i="6"/>
  <c r="Q28" i="6"/>
  <c r="F29" i="6"/>
  <c r="K29" i="6"/>
  <c r="M29" i="6" s="1"/>
  <c r="O29" i="6"/>
  <c r="P29" i="6"/>
  <c r="Q29" i="6"/>
  <c r="F30" i="6"/>
  <c r="K30" i="6"/>
  <c r="O30" i="6"/>
  <c r="P30" i="6"/>
  <c r="Q30" i="6"/>
  <c r="F31" i="6"/>
  <c r="K31" i="6"/>
  <c r="M31" i="6" s="1"/>
  <c r="O31" i="6"/>
  <c r="P31" i="6"/>
  <c r="Q31" i="6"/>
  <c r="F32" i="6"/>
  <c r="H32" i="6"/>
  <c r="I32" i="6"/>
  <c r="J32" i="6"/>
  <c r="K32" i="6" s="1"/>
  <c r="M32" i="6" s="1"/>
  <c r="O32" i="6"/>
  <c r="P32" i="6"/>
  <c r="F33" i="6"/>
  <c r="H33" i="6"/>
  <c r="I33" i="6"/>
  <c r="P33" i="6" s="1"/>
  <c r="J33" i="6"/>
  <c r="O33" i="6"/>
  <c r="Q33" i="6"/>
  <c r="F34" i="6"/>
  <c r="H34" i="6"/>
  <c r="O34" i="6" s="1"/>
  <c r="I34" i="6"/>
  <c r="J34" i="6"/>
  <c r="Q34" i="6" s="1"/>
  <c r="P34" i="6"/>
  <c r="F35" i="6"/>
  <c r="M35" i="6" s="1"/>
  <c r="K35" i="6"/>
  <c r="O35" i="6"/>
  <c r="P35" i="6"/>
  <c r="Q35" i="6"/>
  <c r="F36" i="6"/>
  <c r="K36" i="6"/>
  <c r="M36" i="6"/>
  <c r="O36" i="6"/>
  <c r="P36" i="6"/>
  <c r="Q36" i="6"/>
  <c r="F37" i="6"/>
  <c r="M37" i="6" s="1"/>
  <c r="K37" i="6"/>
  <c r="O37" i="6"/>
  <c r="P37" i="6"/>
  <c r="Q37" i="6"/>
  <c r="F38" i="6"/>
  <c r="J38" i="6"/>
  <c r="K38" i="6"/>
  <c r="M38" i="6" s="1"/>
  <c r="O38" i="6"/>
  <c r="P38" i="6"/>
  <c r="Q38" i="6"/>
  <c r="F39" i="6"/>
  <c r="J39" i="6"/>
  <c r="K39" i="6" s="1"/>
  <c r="M39" i="6" s="1"/>
  <c r="O39" i="6"/>
  <c r="P39" i="6"/>
  <c r="Q39" i="6"/>
  <c r="F40" i="6"/>
  <c r="M40" i="6" s="1"/>
  <c r="H40" i="6"/>
  <c r="I40" i="6"/>
  <c r="J40" i="6"/>
  <c r="K40" i="6"/>
  <c r="O40" i="6"/>
  <c r="P40" i="6"/>
  <c r="Q40" i="6"/>
  <c r="F41" i="6"/>
  <c r="K41" i="6"/>
  <c r="M41" i="6"/>
  <c r="O41" i="6"/>
  <c r="P41" i="6"/>
  <c r="Q41" i="6"/>
  <c r="F42" i="6"/>
  <c r="M42" i="6" s="1"/>
  <c r="K42" i="6"/>
  <c r="O42" i="6"/>
  <c r="P42" i="6"/>
  <c r="Q42" i="6"/>
  <c r="F43" i="6"/>
  <c r="K43" i="6"/>
  <c r="M43" i="6"/>
  <c r="O43" i="6"/>
  <c r="P43" i="6"/>
  <c r="Q43" i="6"/>
  <c r="F44" i="6"/>
  <c r="K44" i="6"/>
  <c r="O44" i="6"/>
  <c r="P44" i="6"/>
  <c r="Q44" i="6"/>
  <c r="F45" i="6"/>
  <c r="K45" i="6"/>
  <c r="M45" i="6"/>
  <c r="O45" i="6"/>
  <c r="P45" i="6"/>
  <c r="Q45" i="6"/>
  <c r="F46" i="6"/>
  <c r="M46" i="6" s="1"/>
  <c r="K46" i="6"/>
  <c r="O46" i="6"/>
  <c r="P46" i="6"/>
  <c r="Q46" i="6"/>
  <c r="F47" i="6"/>
  <c r="K47" i="6"/>
  <c r="M47" i="6"/>
  <c r="O47" i="6"/>
  <c r="P47" i="6"/>
  <c r="Q47" i="6"/>
  <c r="K48" i="6"/>
  <c r="M48" i="6"/>
  <c r="C49" i="6"/>
  <c r="D49" i="6"/>
  <c r="E49" i="6"/>
  <c r="F49" i="6"/>
  <c r="C53" i="6"/>
  <c r="C54" i="6"/>
  <c r="C55" i="6"/>
  <c r="F14" i="5"/>
  <c r="M14" i="5" s="1"/>
  <c r="K14" i="5"/>
  <c r="F15" i="5"/>
  <c r="K15" i="5"/>
  <c r="F16" i="5"/>
  <c r="K16" i="5"/>
  <c r="M16" i="5" s="1"/>
  <c r="F17" i="5"/>
  <c r="H17" i="5"/>
  <c r="I17" i="5"/>
  <c r="P17" i="5" s="1"/>
  <c r="J17" i="5"/>
  <c r="O17" i="5"/>
  <c r="Q17" i="5"/>
  <c r="F18" i="5"/>
  <c r="K18" i="5"/>
  <c r="M18" i="5" s="1"/>
  <c r="O18" i="5"/>
  <c r="P18" i="5"/>
  <c r="Q18" i="5"/>
  <c r="F19" i="5"/>
  <c r="K19" i="5"/>
  <c r="O19" i="5"/>
  <c r="P19" i="5"/>
  <c r="Q19" i="5"/>
  <c r="F20" i="5"/>
  <c r="H20" i="5"/>
  <c r="O20" i="5" s="1"/>
  <c r="I20" i="5"/>
  <c r="J20" i="5"/>
  <c r="Q20" i="5" s="1"/>
  <c r="P20" i="5"/>
  <c r="F21" i="5"/>
  <c r="K21" i="5"/>
  <c r="O21" i="5"/>
  <c r="P21" i="5"/>
  <c r="Q21" i="5"/>
  <c r="F22" i="5"/>
  <c r="K22" i="5"/>
  <c r="M22" i="5"/>
  <c r="O22" i="5"/>
  <c r="P22" i="5"/>
  <c r="Q22" i="5"/>
  <c r="F23" i="5"/>
  <c r="M23" i="5" s="1"/>
  <c r="K23" i="5"/>
  <c r="O23" i="5"/>
  <c r="P23" i="5"/>
  <c r="Q23" i="5"/>
  <c r="F24" i="5"/>
  <c r="H24" i="5"/>
  <c r="I24" i="5"/>
  <c r="P24" i="5" s="1"/>
  <c r="J24" i="5"/>
  <c r="O24" i="5"/>
  <c r="Q24" i="5"/>
  <c r="F25" i="5"/>
  <c r="J25" i="5"/>
  <c r="K25" i="5" s="1"/>
  <c r="M25" i="5" s="1"/>
  <c r="O25" i="5"/>
  <c r="P25" i="5"/>
  <c r="F26" i="5"/>
  <c r="K26" i="5"/>
  <c r="M26" i="5"/>
  <c r="O26" i="5"/>
  <c r="P26" i="5"/>
  <c r="Q26" i="5"/>
  <c r="F27" i="5"/>
  <c r="H27" i="5"/>
  <c r="I27" i="5"/>
  <c r="P27" i="5" s="1"/>
  <c r="J27" i="5"/>
  <c r="K27" i="5"/>
  <c r="O27" i="5"/>
  <c r="Q27" i="5"/>
  <c r="F28" i="5"/>
  <c r="K28" i="5"/>
  <c r="O28" i="5"/>
  <c r="P28" i="5"/>
  <c r="Q28" i="5"/>
  <c r="F29" i="5"/>
  <c r="K29" i="5"/>
  <c r="M29" i="5" s="1"/>
  <c r="O29" i="5"/>
  <c r="P29" i="5"/>
  <c r="Q29" i="5"/>
  <c r="F30" i="5"/>
  <c r="M30" i="5" s="1"/>
  <c r="K30" i="5"/>
  <c r="O30" i="5"/>
  <c r="P30" i="5"/>
  <c r="Q30" i="5"/>
  <c r="F31" i="5"/>
  <c r="K31" i="5"/>
  <c r="M31" i="5" s="1"/>
  <c r="O31" i="5"/>
  <c r="P31" i="5"/>
  <c r="Q31" i="5"/>
  <c r="F32" i="5"/>
  <c r="H32" i="5"/>
  <c r="K32" i="5" s="1"/>
  <c r="M32" i="5" s="1"/>
  <c r="I32" i="5"/>
  <c r="J32" i="5"/>
  <c r="Q32" i="5" s="1"/>
  <c r="P32" i="5"/>
  <c r="F33" i="5"/>
  <c r="H33" i="5"/>
  <c r="I33" i="5"/>
  <c r="P33" i="5" s="1"/>
  <c r="J33" i="5"/>
  <c r="O33" i="5"/>
  <c r="Q33" i="5"/>
  <c r="F34" i="5"/>
  <c r="H34" i="5"/>
  <c r="O34" i="5" s="1"/>
  <c r="I34" i="5"/>
  <c r="J34" i="5"/>
  <c r="Q34" i="5" s="1"/>
  <c r="P34" i="5"/>
  <c r="F35" i="5"/>
  <c r="J35" i="5"/>
  <c r="K35" i="5"/>
  <c r="O35" i="5"/>
  <c r="P35" i="5"/>
  <c r="Q35" i="5"/>
  <c r="F36" i="5"/>
  <c r="K36" i="5"/>
  <c r="M36" i="5" s="1"/>
  <c r="O36" i="5"/>
  <c r="P36" i="5"/>
  <c r="Q36" i="5"/>
  <c r="F37" i="5"/>
  <c r="K37" i="5"/>
  <c r="O37" i="5"/>
  <c r="P37" i="5"/>
  <c r="Q37" i="5"/>
  <c r="F38" i="5"/>
  <c r="J38" i="5"/>
  <c r="K38" i="5" s="1"/>
  <c r="M38" i="5" s="1"/>
  <c r="O38" i="5"/>
  <c r="P38" i="5"/>
  <c r="F39" i="5"/>
  <c r="J39" i="5"/>
  <c r="K39" i="5"/>
  <c r="O39" i="5"/>
  <c r="P39" i="5"/>
  <c r="Q39" i="5"/>
  <c r="F40" i="5"/>
  <c r="H40" i="5"/>
  <c r="I40" i="5"/>
  <c r="J40" i="5"/>
  <c r="Q40" i="5" s="1"/>
  <c r="P40" i="5"/>
  <c r="F41" i="5"/>
  <c r="K41" i="5"/>
  <c r="M41" i="5"/>
  <c r="O41" i="5"/>
  <c r="P41" i="5"/>
  <c r="Q41" i="5"/>
  <c r="F42" i="5"/>
  <c r="K42" i="5"/>
  <c r="O42" i="5"/>
  <c r="P42" i="5"/>
  <c r="Q42" i="5"/>
  <c r="F43" i="5"/>
  <c r="K43" i="5"/>
  <c r="M43" i="5"/>
  <c r="O43" i="5"/>
  <c r="P43" i="5"/>
  <c r="Q43" i="5"/>
  <c r="F44" i="5"/>
  <c r="M44" i="5" s="1"/>
  <c r="K44" i="5"/>
  <c r="O44" i="5"/>
  <c r="P44" i="5"/>
  <c r="Q44" i="5"/>
  <c r="F45" i="5"/>
  <c r="K45" i="5"/>
  <c r="M45" i="5"/>
  <c r="O45" i="5"/>
  <c r="P45" i="5"/>
  <c r="Q45" i="5"/>
  <c r="F46" i="5"/>
  <c r="K46" i="5"/>
  <c r="O46" i="5"/>
  <c r="P46" i="5"/>
  <c r="Q46" i="5"/>
  <c r="F47" i="5"/>
  <c r="K47" i="5"/>
  <c r="M47" i="5"/>
  <c r="O47" i="5"/>
  <c r="P47" i="5"/>
  <c r="Q47" i="5"/>
  <c r="C49" i="5"/>
  <c r="D49" i="5"/>
  <c r="E49" i="5"/>
  <c r="H49" i="5"/>
  <c r="C53" i="5"/>
  <c r="C54" i="5"/>
  <c r="C55" i="5"/>
  <c r="F13" i="4"/>
  <c r="K13" i="4"/>
  <c r="F14" i="4"/>
  <c r="M14" i="4" s="1"/>
  <c r="K14" i="4"/>
  <c r="F15" i="4"/>
  <c r="K15" i="4"/>
  <c r="M15" i="4" s="1"/>
  <c r="F16" i="4"/>
  <c r="H16" i="4"/>
  <c r="I16" i="4"/>
  <c r="P16" i="4" s="1"/>
  <c r="J16" i="4"/>
  <c r="O16" i="4"/>
  <c r="Q16" i="4"/>
  <c r="F17" i="4"/>
  <c r="K17" i="4"/>
  <c r="M17" i="4" s="1"/>
  <c r="O17" i="4"/>
  <c r="P17" i="4"/>
  <c r="Q17" i="4"/>
  <c r="F18" i="4"/>
  <c r="M18" i="4" s="1"/>
  <c r="K18" i="4"/>
  <c r="O18" i="4"/>
  <c r="P18" i="4"/>
  <c r="Q18" i="4"/>
  <c r="F19" i="4"/>
  <c r="H19" i="4"/>
  <c r="O19" i="4" s="1"/>
  <c r="I19" i="4"/>
  <c r="J19" i="4"/>
  <c r="Q19" i="4" s="1"/>
  <c r="P19" i="4"/>
  <c r="F20" i="4"/>
  <c r="M20" i="4" s="1"/>
  <c r="K20" i="4"/>
  <c r="O20" i="4"/>
  <c r="P20" i="4"/>
  <c r="Q20" i="4"/>
  <c r="F21" i="4"/>
  <c r="K21" i="4"/>
  <c r="M21" i="4"/>
  <c r="O21" i="4"/>
  <c r="P21" i="4"/>
  <c r="Q21" i="4"/>
  <c r="F22" i="4"/>
  <c r="K22" i="4"/>
  <c r="O22" i="4"/>
  <c r="P22" i="4"/>
  <c r="Q22" i="4"/>
  <c r="F23" i="4"/>
  <c r="H23" i="4"/>
  <c r="I23" i="4"/>
  <c r="P23" i="4" s="1"/>
  <c r="J23" i="4"/>
  <c r="O23" i="4"/>
  <c r="Q23" i="4"/>
  <c r="F24" i="4"/>
  <c r="J24" i="4"/>
  <c r="K24" i="4" s="1"/>
  <c r="M24" i="4" s="1"/>
  <c r="O24" i="4"/>
  <c r="P24" i="4"/>
  <c r="F25" i="4"/>
  <c r="K25" i="4"/>
  <c r="M25" i="4"/>
  <c r="O25" i="4"/>
  <c r="P25" i="4"/>
  <c r="Q25" i="4"/>
  <c r="F26" i="4"/>
  <c r="M26" i="4" s="1"/>
  <c r="H26" i="4"/>
  <c r="I26" i="4"/>
  <c r="P26" i="4" s="1"/>
  <c r="J26" i="4"/>
  <c r="K26" i="4"/>
  <c r="O26" i="4"/>
  <c r="Q26" i="4"/>
  <c r="F27" i="4"/>
  <c r="K27" i="4"/>
  <c r="M27" i="4" s="1"/>
  <c r="O27" i="4"/>
  <c r="P27" i="4"/>
  <c r="Q27" i="4"/>
  <c r="F28" i="4"/>
  <c r="K28" i="4"/>
  <c r="M28" i="4" s="1"/>
  <c r="O28" i="4"/>
  <c r="P28" i="4"/>
  <c r="Q28" i="4"/>
  <c r="F29" i="4"/>
  <c r="K29" i="4"/>
  <c r="M29" i="4" s="1"/>
  <c r="O29" i="4"/>
  <c r="P29" i="4"/>
  <c r="Q29" i="4"/>
  <c r="F30" i="4"/>
  <c r="M30" i="4" s="1"/>
  <c r="K30" i="4"/>
  <c r="O30" i="4"/>
  <c r="P30" i="4"/>
  <c r="Q30" i="4"/>
  <c r="F31" i="4"/>
  <c r="H31" i="4"/>
  <c r="I31" i="4"/>
  <c r="J31" i="4"/>
  <c r="Q31" i="4" s="1"/>
  <c r="P31" i="4"/>
  <c r="F32" i="4"/>
  <c r="H32" i="4"/>
  <c r="I32" i="4"/>
  <c r="P32" i="4" s="1"/>
  <c r="J32" i="4"/>
  <c r="O32" i="4"/>
  <c r="Q32" i="4"/>
  <c r="F33" i="4"/>
  <c r="H33" i="4"/>
  <c r="O33" i="4" s="1"/>
  <c r="I33" i="4"/>
  <c r="J33" i="4"/>
  <c r="Q33" i="4" s="1"/>
  <c r="P33" i="4"/>
  <c r="F34" i="4"/>
  <c r="J34" i="4"/>
  <c r="K34" i="4"/>
  <c r="O34" i="4"/>
  <c r="P34" i="4"/>
  <c r="Q34" i="4"/>
  <c r="F35" i="4"/>
  <c r="K35" i="4"/>
  <c r="M35" i="4" s="1"/>
  <c r="O35" i="4"/>
  <c r="P35" i="4"/>
  <c r="Q35" i="4"/>
  <c r="F36" i="4"/>
  <c r="M36" i="4" s="1"/>
  <c r="K36" i="4"/>
  <c r="O36" i="4"/>
  <c r="P36" i="4"/>
  <c r="Q36" i="4"/>
  <c r="F37" i="4"/>
  <c r="J37" i="4"/>
  <c r="K37" i="4" s="1"/>
  <c r="M37" i="4" s="1"/>
  <c r="O37" i="4"/>
  <c r="P37" i="4"/>
  <c r="F38" i="4"/>
  <c r="J38" i="4"/>
  <c r="K38" i="4"/>
  <c r="O38" i="4"/>
  <c r="P38" i="4"/>
  <c r="Q38" i="4"/>
  <c r="F39" i="4"/>
  <c r="H39" i="4"/>
  <c r="K39" i="4" s="1"/>
  <c r="M39" i="4" s="1"/>
  <c r="I39" i="4"/>
  <c r="J39" i="4"/>
  <c r="Q39" i="4" s="1"/>
  <c r="P39" i="4"/>
  <c r="F40" i="4"/>
  <c r="K40" i="4"/>
  <c r="M40" i="4"/>
  <c r="O40" i="4"/>
  <c r="P40" i="4"/>
  <c r="Q40" i="4"/>
  <c r="F41" i="4"/>
  <c r="M41" i="4" s="1"/>
  <c r="K41" i="4"/>
  <c r="O41" i="4"/>
  <c r="P41" i="4"/>
  <c r="Q41" i="4"/>
  <c r="F42" i="4"/>
  <c r="K42" i="4"/>
  <c r="M42" i="4"/>
  <c r="O42" i="4"/>
  <c r="P42" i="4"/>
  <c r="Q42" i="4"/>
  <c r="F43" i="4"/>
  <c r="K43" i="4"/>
  <c r="O43" i="4"/>
  <c r="P43" i="4"/>
  <c r="Q43" i="4"/>
  <c r="F44" i="4"/>
  <c r="K44" i="4"/>
  <c r="M44" i="4"/>
  <c r="O44" i="4"/>
  <c r="P44" i="4"/>
  <c r="Q44" i="4"/>
  <c r="F45" i="4"/>
  <c r="M45" i="4" s="1"/>
  <c r="K45" i="4"/>
  <c r="O45" i="4"/>
  <c r="P45" i="4"/>
  <c r="Q45" i="4"/>
  <c r="F46" i="4"/>
  <c r="K46" i="4"/>
  <c r="M46" i="4"/>
  <c r="O46" i="4"/>
  <c r="P46" i="4"/>
  <c r="Q46" i="4"/>
  <c r="O47" i="4"/>
  <c r="P47" i="4"/>
  <c r="Q47" i="4"/>
  <c r="C48" i="4"/>
  <c r="D48" i="4"/>
  <c r="E48" i="4"/>
  <c r="I48" i="4"/>
  <c r="C52" i="4"/>
  <c r="C53" i="4"/>
  <c r="C54" i="4"/>
  <c r="F14" i="3"/>
  <c r="K14" i="3"/>
  <c r="M14" i="3"/>
  <c r="F15" i="3"/>
  <c r="K15" i="3"/>
  <c r="F16" i="3"/>
  <c r="M16" i="3" s="1"/>
  <c r="K16" i="3"/>
  <c r="F17" i="3"/>
  <c r="H17" i="3"/>
  <c r="I17" i="3"/>
  <c r="P17" i="3" s="1"/>
  <c r="J17" i="3"/>
  <c r="O17" i="3"/>
  <c r="Q17" i="3"/>
  <c r="F18" i="3"/>
  <c r="M18" i="3" s="1"/>
  <c r="K18" i="3"/>
  <c r="O18" i="3"/>
  <c r="P18" i="3"/>
  <c r="Q18" i="3"/>
  <c r="F19" i="3"/>
  <c r="K19" i="3"/>
  <c r="M19" i="3"/>
  <c r="O19" i="3"/>
  <c r="P19" i="3"/>
  <c r="Q19" i="3"/>
  <c r="F20" i="3"/>
  <c r="H20" i="3"/>
  <c r="I20" i="3"/>
  <c r="O20" i="3"/>
  <c r="P20" i="3"/>
  <c r="Q20" i="3"/>
  <c r="F21" i="3"/>
  <c r="M21" i="3" s="1"/>
  <c r="K21" i="3"/>
  <c r="O21" i="3"/>
  <c r="P21" i="3"/>
  <c r="Q21" i="3"/>
  <c r="F22" i="3"/>
  <c r="K22" i="3"/>
  <c r="M22" i="3"/>
  <c r="O22" i="3"/>
  <c r="P22" i="3"/>
  <c r="Q22" i="3"/>
  <c r="F23" i="3"/>
  <c r="K23" i="3"/>
  <c r="O23" i="3"/>
  <c r="P23" i="3"/>
  <c r="Q23" i="3"/>
  <c r="F24" i="3"/>
  <c r="H24" i="3"/>
  <c r="K24" i="3" s="1"/>
  <c r="M24" i="3" s="1"/>
  <c r="I24" i="3"/>
  <c r="J24" i="3"/>
  <c r="Q24" i="3" s="1"/>
  <c r="O24" i="3"/>
  <c r="P24" i="3"/>
  <c r="F25" i="3"/>
  <c r="J25" i="3"/>
  <c r="K25" i="3"/>
  <c r="O25" i="3"/>
  <c r="P25" i="3"/>
  <c r="Q25" i="3"/>
  <c r="F26" i="3"/>
  <c r="K26" i="3"/>
  <c r="M26" i="3"/>
  <c r="O26" i="3"/>
  <c r="P26" i="3"/>
  <c r="Q26" i="3"/>
  <c r="F27" i="3"/>
  <c r="H27" i="3"/>
  <c r="O27" i="3" s="1"/>
  <c r="I27" i="3"/>
  <c r="J27" i="3"/>
  <c r="P27" i="3"/>
  <c r="Q27" i="3"/>
  <c r="F28" i="3"/>
  <c r="M28" i="3" s="1"/>
  <c r="K28" i="3"/>
  <c r="O28" i="3"/>
  <c r="P28" i="3"/>
  <c r="Q28" i="3"/>
  <c r="F29" i="3"/>
  <c r="K29" i="3"/>
  <c r="M29" i="3"/>
  <c r="O29" i="3"/>
  <c r="P29" i="3"/>
  <c r="Q29" i="3"/>
  <c r="F30" i="3"/>
  <c r="K30" i="3"/>
  <c r="O30" i="3"/>
  <c r="P30" i="3"/>
  <c r="Q30" i="3"/>
  <c r="F31" i="3"/>
  <c r="K31" i="3"/>
  <c r="M31" i="3"/>
  <c r="O31" i="3"/>
  <c r="P31" i="3"/>
  <c r="Q31" i="3"/>
  <c r="F32" i="3"/>
  <c r="M32" i="3" s="1"/>
  <c r="H32" i="3"/>
  <c r="I32" i="3"/>
  <c r="J32" i="3"/>
  <c r="K32" i="3"/>
  <c r="O32" i="3"/>
  <c r="P32" i="3"/>
  <c r="Q32" i="3"/>
  <c r="F33" i="3"/>
  <c r="H33" i="3"/>
  <c r="K33" i="3" s="1"/>
  <c r="M33" i="3" s="1"/>
  <c r="I33" i="3"/>
  <c r="J33" i="3"/>
  <c r="Q33" i="3" s="1"/>
  <c r="O33" i="3"/>
  <c r="P33" i="3"/>
  <c r="F34" i="3"/>
  <c r="H34" i="3"/>
  <c r="K34" i="3" s="1"/>
  <c r="M34" i="3" s="1"/>
  <c r="I34" i="3"/>
  <c r="P34" i="3" s="1"/>
  <c r="J34" i="3"/>
  <c r="O34" i="3"/>
  <c r="Q34" i="3"/>
  <c r="F35" i="3"/>
  <c r="K35" i="3"/>
  <c r="O35" i="3"/>
  <c r="P35" i="3"/>
  <c r="Q35" i="3"/>
  <c r="F36" i="3"/>
  <c r="K36" i="3"/>
  <c r="M36" i="3"/>
  <c r="O36" i="3"/>
  <c r="P36" i="3"/>
  <c r="Q36" i="3"/>
  <c r="F37" i="3"/>
  <c r="M37" i="3" s="1"/>
  <c r="K37" i="3"/>
  <c r="O37" i="3"/>
  <c r="P37" i="3"/>
  <c r="Q37" i="3"/>
  <c r="F38" i="3"/>
  <c r="J38" i="3"/>
  <c r="K38" i="3"/>
  <c r="M38" i="3"/>
  <c r="C54" i="3" s="1"/>
  <c r="O38" i="3"/>
  <c r="P38" i="3"/>
  <c r="Q38" i="3"/>
  <c r="F39" i="3"/>
  <c r="M39" i="3" s="1"/>
  <c r="J39" i="3"/>
  <c r="K39" i="3"/>
  <c r="O39" i="3"/>
  <c r="P39" i="3"/>
  <c r="Q39" i="3"/>
  <c r="F40" i="3"/>
  <c r="H40" i="3"/>
  <c r="O40" i="3" s="1"/>
  <c r="I40" i="3"/>
  <c r="J40" i="3"/>
  <c r="P40" i="3"/>
  <c r="Q40" i="3"/>
  <c r="F41" i="3"/>
  <c r="M41" i="3" s="1"/>
  <c r="K41" i="3"/>
  <c r="O41" i="3"/>
  <c r="P41" i="3"/>
  <c r="Q41" i="3"/>
  <c r="F42" i="3"/>
  <c r="K42" i="3"/>
  <c r="M42" i="3"/>
  <c r="O42" i="3"/>
  <c r="P42" i="3"/>
  <c r="Q42" i="3"/>
  <c r="F43" i="3"/>
  <c r="M43" i="3" s="1"/>
  <c r="K43" i="3"/>
  <c r="O43" i="3"/>
  <c r="P43" i="3"/>
  <c r="Q43" i="3"/>
  <c r="F44" i="3"/>
  <c r="K44" i="3"/>
  <c r="M44" i="3"/>
  <c r="O44" i="3"/>
  <c r="P44" i="3"/>
  <c r="Q44" i="3"/>
  <c r="F45" i="3"/>
  <c r="K45" i="3"/>
  <c r="O45" i="3"/>
  <c r="P45" i="3"/>
  <c r="Q45" i="3"/>
  <c r="F46" i="3"/>
  <c r="K46" i="3"/>
  <c r="M46" i="3"/>
  <c r="O46" i="3"/>
  <c r="P46" i="3"/>
  <c r="Q46" i="3"/>
  <c r="F47" i="3"/>
  <c r="M47" i="3" s="1"/>
  <c r="K47" i="3"/>
  <c r="O47" i="3"/>
  <c r="P47" i="3"/>
  <c r="Q47" i="3"/>
  <c r="C49" i="3"/>
  <c r="D49" i="3"/>
  <c r="E49" i="3"/>
  <c r="J49" i="3"/>
  <c r="F13" i="2"/>
  <c r="M13" i="2" s="1"/>
  <c r="K13" i="2"/>
  <c r="F14" i="2"/>
  <c r="M14" i="2" s="1"/>
  <c r="K14" i="2"/>
  <c r="F15" i="2"/>
  <c r="K15" i="2"/>
  <c r="M15" i="2" s="1"/>
  <c r="F16" i="2"/>
  <c r="H16" i="2"/>
  <c r="K16" i="2" s="1"/>
  <c r="I16" i="2"/>
  <c r="P16" i="2" s="1"/>
  <c r="J16" i="2"/>
  <c r="Q16" i="2" s="1"/>
  <c r="O16" i="2"/>
  <c r="F17" i="2"/>
  <c r="K17" i="2"/>
  <c r="M17" i="2" s="1"/>
  <c r="O17" i="2"/>
  <c r="P17" i="2"/>
  <c r="Q17" i="2"/>
  <c r="F18" i="2"/>
  <c r="M18" i="2" s="1"/>
  <c r="K18" i="2"/>
  <c r="O18" i="2"/>
  <c r="P18" i="2"/>
  <c r="Q18" i="2"/>
  <c r="F19" i="2"/>
  <c r="H19" i="2"/>
  <c r="O19" i="2" s="1"/>
  <c r="I19" i="2"/>
  <c r="P19" i="2" s="1"/>
  <c r="J19" i="2"/>
  <c r="Q19" i="2"/>
  <c r="F20" i="2"/>
  <c r="M20" i="2" s="1"/>
  <c r="K20" i="2"/>
  <c r="O20" i="2"/>
  <c r="P20" i="2"/>
  <c r="Q20" i="2"/>
  <c r="F21" i="2"/>
  <c r="K21" i="2"/>
  <c r="M21" i="2"/>
  <c r="O21" i="2"/>
  <c r="P21" i="2"/>
  <c r="Q21" i="2"/>
  <c r="F22" i="2"/>
  <c r="K22" i="2"/>
  <c r="O22" i="2"/>
  <c r="P22" i="2"/>
  <c r="Q22" i="2"/>
  <c r="F23" i="2"/>
  <c r="H23" i="2"/>
  <c r="I23" i="2"/>
  <c r="P23" i="2" s="1"/>
  <c r="J23" i="2"/>
  <c r="Q23" i="2" s="1"/>
  <c r="O23" i="2"/>
  <c r="F24" i="2"/>
  <c r="I24" i="2"/>
  <c r="P24" i="2" s="1"/>
  <c r="J24" i="2"/>
  <c r="Q24" i="2" s="1"/>
  <c r="O24" i="2"/>
  <c r="F25" i="2"/>
  <c r="K25" i="2"/>
  <c r="M25" i="2" s="1"/>
  <c r="O25" i="2"/>
  <c r="P25" i="2"/>
  <c r="Q25" i="2"/>
  <c r="F26" i="2"/>
  <c r="H26" i="2"/>
  <c r="I26" i="2"/>
  <c r="J26" i="2"/>
  <c r="K26" i="2" s="1"/>
  <c r="O26" i="2"/>
  <c r="P26" i="2"/>
  <c r="F27" i="2"/>
  <c r="K27" i="2"/>
  <c r="M27" i="2"/>
  <c r="O27" i="2"/>
  <c r="P27" i="2"/>
  <c r="Q27" i="2"/>
  <c r="F28" i="2"/>
  <c r="K28" i="2"/>
  <c r="O28" i="2"/>
  <c r="P28" i="2"/>
  <c r="Q28" i="2"/>
  <c r="F29" i="2"/>
  <c r="K29" i="2"/>
  <c r="M29" i="2"/>
  <c r="O29" i="2"/>
  <c r="P29" i="2"/>
  <c r="Q29" i="2"/>
  <c r="F30" i="2"/>
  <c r="M30" i="2" s="1"/>
  <c r="K30" i="2"/>
  <c r="O30" i="2"/>
  <c r="P30" i="2"/>
  <c r="Q30" i="2"/>
  <c r="F31" i="2"/>
  <c r="H31" i="2"/>
  <c r="I31" i="2"/>
  <c r="P31" i="2" s="1"/>
  <c r="J31" i="2"/>
  <c r="Q31" i="2" s="1"/>
  <c r="O31" i="2"/>
  <c r="F32" i="2"/>
  <c r="H32" i="2"/>
  <c r="O32" i="2" s="1"/>
  <c r="I32" i="2"/>
  <c r="P32" i="2" s="1"/>
  <c r="J32" i="2"/>
  <c r="Q32" i="2"/>
  <c r="F33" i="2"/>
  <c r="H33" i="2"/>
  <c r="I33" i="2"/>
  <c r="J33" i="2"/>
  <c r="K33" i="2"/>
  <c r="O33" i="2"/>
  <c r="P33" i="2"/>
  <c r="Q33" i="2"/>
  <c r="F34" i="2"/>
  <c r="J34" i="2"/>
  <c r="K34" i="2" s="1"/>
  <c r="M34" i="2" s="1"/>
  <c r="O34" i="2"/>
  <c r="P34" i="2"/>
  <c r="Q34" i="2"/>
  <c r="F35" i="2"/>
  <c r="K35" i="2"/>
  <c r="O35" i="2"/>
  <c r="P35" i="2"/>
  <c r="Q35" i="2"/>
  <c r="F36" i="2"/>
  <c r="K36" i="2"/>
  <c r="M36" i="2"/>
  <c r="O36" i="2"/>
  <c r="P36" i="2"/>
  <c r="Q36" i="2"/>
  <c r="F37" i="2"/>
  <c r="J37" i="2"/>
  <c r="K37" i="2" s="1"/>
  <c r="O37" i="2"/>
  <c r="P37" i="2"/>
  <c r="F38" i="2"/>
  <c r="J38" i="2"/>
  <c r="K38" i="2" s="1"/>
  <c r="M38" i="2" s="1"/>
  <c r="O38" i="2"/>
  <c r="P38" i="2"/>
  <c r="F39" i="2"/>
  <c r="H39" i="2"/>
  <c r="K39" i="2" s="1"/>
  <c r="M39" i="2" s="1"/>
  <c r="I39" i="2"/>
  <c r="P39" i="2" s="1"/>
  <c r="J39" i="2"/>
  <c r="Q39" i="2" s="1"/>
  <c r="O39" i="2"/>
  <c r="F40" i="2"/>
  <c r="K40" i="2"/>
  <c r="M40" i="2" s="1"/>
  <c r="O40" i="2"/>
  <c r="P40" i="2"/>
  <c r="Q40" i="2"/>
  <c r="F41" i="2"/>
  <c r="M41" i="2" s="1"/>
  <c r="K41" i="2"/>
  <c r="O41" i="2"/>
  <c r="P41" i="2"/>
  <c r="Q41" i="2"/>
  <c r="F42" i="2"/>
  <c r="K42" i="2"/>
  <c r="M42" i="2" s="1"/>
  <c r="O42" i="2"/>
  <c r="P42" i="2"/>
  <c r="Q42" i="2"/>
  <c r="F43" i="2"/>
  <c r="M43" i="2" s="1"/>
  <c r="K43" i="2"/>
  <c r="O43" i="2"/>
  <c r="P43" i="2"/>
  <c r="Q43" i="2"/>
  <c r="F44" i="2"/>
  <c r="K44" i="2"/>
  <c r="M44" i="2" s="1"/>
  <c r="O44" i="2"/>
  <c r="P44" i="2"/>
  <c r="Q44" i="2"/>
  <c r="F45" i="2"/>
  <c r="K45" i="2"/>
  <c r="O45" i="2"/>
  <c r="P45" i="2"/>
  <c r="Q45" i="2"/>
  <c r="F46" i="2"/>
  <c r="K46" i="2"/>
  <c r="M46" i="2" s="1"/>
  <c r="O46" i="2"/>
  <c r="P46" i="2"/>
  <c r="Q46" i="2"/>
  <c r="C48" i="2"/>
  <c r="D48" i="2"/>
  <c r="E48" i="2"/>
  <c r="F48" i="2"/>
  <c r="C52" i="2"/>
  <c r="C53" i="2"/>
  <c r="C54" i="2"/>
  <c r="C55" i="2"/>
  <c r="P47" i="10" l="1"/>
  <c r="M39" i="7"/>
  <c r="M27" i="7"/>
  <c r="M25" i="3"/>
  <c r="J49" i="7"/>
  <c r="M32" i="8"/>
  <c r="M40" i="10"/>
  <c r="M42" i="5"/>
  <c r="M37" i="7"/>
  <c r="M24" i="7"/>
  <c r="M14" i="7"/>
  <c r="V40" i="9"/>
  <c r="M25" i="9"/>
  <c r="M48" i="10"/>
  <c r="M16" i="10"/>
  <c r="K27" i="11"/>
  <c r="M27" i="11" s="1"/>
  <c r="M23" i="11"/>
  <c r="M39" i="12"/>
  <c r="Z39" i="12" s="1"/>
  <c r="M23" i="3"/>
  <c r="M15" i="5"/>
  <c r="K32" i="7"/>
  <c r="M32" i="7" s="1"/>
  <c r="M30" i="9"/>
  <c r="V41" i="10"/>
  <c r="M18" i="10"/>
  <c r="K33" i="11"/>
  <c r="M33" i="11" s="1"/>
  <c r="M41" i="12"/>
  <c r="Z41" i="12" s="1"/>
  <c r="M37" i="12"/>
  <c r="AA37" i="12" s="1"/>
  <c r="M35" i="5"/>
  <c r="M25" i="8"/>
  <c r="M38" i="4"/>
  <c r="M33" i="2"/>
  <c r="F49" i="3"/>
  <c r="M34" i="10"/>
  <c r="F49" i="12"/>
  <c r="K31" i="2"/>
  <c r="M31" i="2" s="1"/>
  <c r="M22" i="2"/>
  <c r="M13" i="4"/>
  <c r="M27" i="5"/>
  <c r="M21" i="5"/>
  <c r="M23" i="6"/>
  <c r="I49" i="7"/>
  <c r="V38" i="9"/>
  <c r="K40" i="11"/>
  <c r="M40" i="11" s="1"/>
  <c r="M47" i="12"/>
  <c r="K27" i="12"/>
  <c r="M27" i="12" s="1"/>
  <c r="AA27" i="12" s="1"/>
  <c r="M45" i="2"/>
  <c r="M28" i="2"/>
  <c r="M45" i="3"/>
  <c r="M30" i="3"/>
  <c r="K20" i="3"/>
  <c r="M20" i="3" s="1"/>
  <c r="K31" i="4"/>
  <c r="M31" i="4" s="1"/>
  <c r="M39" i="5"/>
  <c r="M28" i="5"/>
  <c r="M30" i="6"/>
  <c r="M44" i="7"/>
  <c r="K34" i="7"/>
  <c r="M34" i="7" s="1"/>
  <c r="K33" i="7"/>
  <c r="M33" i="7" s="1"/>
  <c r="M45" i="8"/>
  <c r="K24" i="8"/>
  <c r="M24" i="8" s="1"/>
  <c r="M16" i="8"/>
  <c r="M43" i="9"/>
  <c r="M35" i="2"/>
  <c r="K23" i="2"/>
  <c r="M23" i="2" s="1"/>
  <c r="M35" i="3"/>
  <c r="K17" i="3"/>
  <c r="M17" i="3" s="1"/>
  <c r="C53" i="3" s="1"/>
  <c r="M43" i="4"/>
  <c r="M34" i="4"/>
  <c r="M22" i="4"/>
  <c r="M46" i="5"/>
  <c r="K40" i="5"/>
  <c r="M40" i="5" s="1"/>
  <c r="M37" i="5"/>
  <c r="M19" i="5"/>
  <c r="M44" i="6"/>
  <c r="M16" i="6"/>
  <c r="C54" i="7"/>
  <c r="M26" i="7"/>
  <c r="M39" i="8"/>
  <c r="M30" i="8"/>
  <c r="M46" i="9"/>
  <c r="M27" i="9"/>
  <c r="M22" i="9"/>
  <c r="M19" i="9"/>
  <c r="Q45" i="10"/>
  <c r="Q47" i="10" s="1"/>
  <c r="V23" i="10"/>
  <c r="V45" i="10" s="1"/>
  <c r="K19" i="10"/>
  <c r="M19" i="10" s="1"/>
  <c r="H49" i="11"/>
  <c r="M43" i="11"/>
  <c r="M16" i="11"/>
  <c r="M46" i="12"/>
  <c r="M28" i="12"/>
  <c r="Z28" i="12" s="1"/>
  <c r="K17" i="12"/>
  <c r="M17" i="12" s="1"/>
  <c r="AA17" i="12" s="1"/>
  <c r="Z33" i="12"/>
  <c r="AA33" i="12"/>
  <c r="Z40" i="12"/>
  <c r="AA40" i="12"/>
  <c r="Z38" i="12"/>
  <c r="Z20" i="12"/>
  <c r="AA20" i="12"/>
  <c r="Z37" i="12"/>
  <c r="AA26" i="12"/>
  <c r="AA22" i="12"/>
  <c r="Z21" i="12"/>
  <c r="AA21" i="12"/>
  <c r="AA29" i="12"/>
  <c r="Z24" i="12"/>
  <c r="I49" i="12"/>
  <c r="O46" i="12"/>
  <c r="C53" i="12" s="1"/>
  <c r="AA36" i="12"/>
  <c r="K34" i="12"/>
  <c r="M34" i="12" s="1"/>
  <c r="Z34" i="12" s="1"/>
  <c r="K32" i="12"/>
  <c r="M32" i="12" s="1"/>
  <c r="Z32" i="12" s="1"/>
  <c r="AA31" i="12"/>
  <c r="AA19" i="12"/>
  <c r="H49" i="12"/>
  <c r="AA42" i="12"/>
  <c r="AA38" i="12"/>
  <c r="AA35" i="12"/>
  <c r="AA30" i="12"/>
  <c r="Y25" i="12"/>
  <c r="Y45" i="12" s="1"/>
  <c r="AA45" i="12" s="1"/>
  <c r="K24" i="12"/>
  <c r="M24" i="12" s="1"/>
  <c r="AA24" i="12" s="1"/>
  <c r="AA23" i="12"/>
  <c r="AA18" i="12"/>
  <c r="AD17" i="12"/>
  <c r="M15" i="12"/>
  <c r="AD40" i="12"/>
  <c r="M39" i="11"/>
  <c r="M38" i="11"/>
  <c r="O33" i="11"/>
  <c r="O27" i="11"/>
  <c r="J49" i="11"/>
  <c r="Q38" i="11"/>
  <c r="K20" i="11"/>
  <c r="M20" i="11" s="1"/>
  <c r="M15" i="11"/>
  <c r="O34" i="11"/>
  <c r="O32" i="11"/>
  <c r="I49" i="11"/>
  <c r="Q41" i="11"/>
  <c r="Q39" i="11"/>
  <c r="H50" i="10"/>
  <c r="K39" i="10"/>
  <c r="M39" i="10" s="1"/>
  <c r="K33" i="10"/>
  <c r="M33" i="10" s="1"/>
  <c r="K23" i="10"/>
  <c r="M23" i="10" s="1"/>
  <c r="X19" i="10"/>
  <c r="F50" i="10"/>
  <c r="S47" i="10"/>
  <c r="O45" i="10"/>
  <c r="O47" i="10" s="1"/>
  <c r="J50" i="10"/>
  <c r="Y24" i="10"/>
  <c r="M40" i="9"/>
  <c r="W41" i="9"/>
  <c r="W23" i="9"/>
  <c r="M24" i="9"/>
  <c r="W18" i="9"/>
  <c r="M17" i="9"/>
  <c r="M38" i="9"/>
  <c r="W38" i="9"/>
  <c r="M32" i="9"/>
  <c r="W32" i="9"/>
  <c r="H49" i="9"/>
  <c r="P44" i="9"/>
  <c r="Z38" i="9"/>
  <c r="K34" i="9"/>
  <c r="X32" i="9"/>
  <c r="X24" i="9"/>
  <c r="X17" i="9"/>
  <c r="F49" i="9"/>
  <c r="O44" i="9"/>
  <c r="K33" i="9"/>
  <c r="W33" i="9" s="1"/>
  <c r="J49" i="9"/>
  <c r="X40" i="9"/>
  <c r="F49" i="8"/>
  <c r="K40" i="8"/>
  <c r="M40" i="8" s="1"/>
  <c r="R38" i="8"/>
  <c r="P33" i="8"/>
  <c r="K27" i="8"/>
  <c r="M27" i="8" s="1"/>
  <c r="P24" i="8"/>
  <c r="J49" i="8"/>
  <c r="K34" i="8"/>
  <c r="M34" i="8" s="1"/>
  <c r="K17" i="8"/>
  <c r="I49" i="8"/>
  <c r="S42" i="7"/>
  <c r="Q42" i="7"/>
  <c r="Q45" i="7"/>
  <c r="V32" i="7"/>
  <c r="U17" i="7"/>
  <c r="K49" i="7"/>
  <c r="F49" i="7"/>
  <c r="T40" i="7"/>
  <c r="U27" i="7"/>
  <c r="C53" i="7"/>
  <c r="O45" i="7"/>
  <c r="S47" i="7" s="1"/>
  <c r="K17" i="7"/>
  <c r="M17" i="7" s="1"/>
  <c r="T34" i="7"/>
  <c r="M17" i="6"/>
  <c r="J49" i="6"/>
  <c r="K34" i="6"/>
  <c r="M34" i="6" s="1"/>
  <c r="K20" i="6"/>
  <c r="M20" i="6" s="1"/>
  <c r="I49" i="6"/>
  <c r="K33" i="6"/>
  <c r="M33" i="6" s="1"/>
  <c r="K24" i="6"/>
  <c r="M24" i="6" s="1"/>
  <c r="H49" i="6"/>
  <c r="Q32" i="6"/>
  <c r="Q25" i="6"/>
  <c r="F49" i="5"/>
  <c r="O40" i="5"/>
  <c r="K34" i="5"/>
  <c r="M34" i="5" s="1"/>
  <c r="O32" i="5"/>
  <c r="K20" i="5"/>
  <c r="M20" i="5" s="1"/>
  <c r="J49" i="5"/>
  <c r="K33" i="5"/>
  <c r="M33" i="5" s="1"/>
  <c r="K24" i="5"/>
  <c r="M24" i="5" s="1"/>
  <c r="K17" i="5"/>
  <c r="M17" i="5" s="1"/>
  <c r="I49" i="5"/>
  <c r="Q38" i="5"/>
  <c r="Q25" i="5"/>
  <c r="H48" i="4"/>
  <c r="O39" i="4"/>
  <c r="K33" i="4"/>
  <c r="M33" i="4" s="1"/>
  <c r="O31" i="4"/>
  <c r="K19" i="4"/>
  <c r="M19" i="4" s="1"/>
  <c r="K32" i="4"/>
  <c r="M32" i="4" s="1"/>
  <c r="K23" i="4"/>
  <c r="M23" i="4" s="1"/>
  <c r="K16" i="4"/>
  <c r="F48" i="4"/>
  <c r="J48" i="4"/>
  <c r="Q37" i="4"/>
  <c r="Q24" i="4"/>
  <c r="I49" i="3"/>
  <c r="K40" i="3"/>
  <c r="M40" i="3" s="1"/>
  <c r="K27" i="3"/>
  <c r="M27" i="3" s="1"/>
  <c r="H49" i="3"/>
  <c r="M15" i="3"/>
  <c r="M37" i="2"/>
  <c r="M16" i="2"/>
  <c r="M26" i="2"/>
  <c r="J48" i="2"/>
  <c r="K32" i="2"/>
  <c r="M32" i="2" s="1"/>
  <c r="K19" i="2"/>
  <c r="M19" i="2" s="1"/>
  <c r="Q37" i="2"/>
  <c r="K24" i="2"/>
  <c r="M24" i="2" s="1"/>
  <c r="I48" i="2"/>
  <c r="H48" i="2"/>
  <c r="Q38" i="2"/>
  <c r="Q26" i="2"/>
  <c r="K49" i="9" l="1"/>
  <c r="M33" i="9"/>
  <c r="AA28" i="12"/>
  <c r="Z27" i="12"/>
  <c r="Z17" i="12"/>
  <c r="AA39" i="12"/>
  <c r="M49" i="9"/>
  <c r="M49" i="7"/>
  <c r="N49" i="7" s="1"/>
  <c r="K49" i="8"/>
  <c r="M49" i="8" s="1"/>
  <c r="N49" i="8" s="1"/>
  <c r="K49" i="11"/>
  <c r="M49" i="11" s="1"/>
  <c r="N49" i="11" s="1"/>
  <c r="AA41" i="12"/>
  <c r="K49" i="12"/>
  <c r="M49" i="12" s="1"/>
  <c r="N49" i="12" s="1"/>
  <c r="Z25" i="12"/>
  <c r="AA25" i="12"/>
  <c r="AA32" i="12"/>
  <c r="AA34" i="12"/>
  <c r="K50" i="10"/>
  <c r="M50" i="10" s="1"/>
  <c r="N50" i="10" s="1"/>
  <c r="W35" i="9"/>
  <c r="M34" i="9"/>
  <c r="M17" i="8"/>
  <c r="K49" i="6"/>
  <c r="M49" i="6" s="1"/>
  <c r="N49" i="6" s="1"/>
  <c r="K49" i="5"/>
  <c r="M49" i="5"/>
  <c r="N49" i="5" s="1"/>
  <c r="K48" i="4"/>
  <c r="M48" i="4" s="1"/>
  <c r="N48" i="4" s="1"/>
  <c r="M16" i="4"/>
  <c r="K49" i="3"/>
  <c r="M49" i="3" s="1"/>
  <c r="N49" i="3" s="1"/>
  <c r="K48" i="2"/>
  <c r="M48" i="2" s="1"/>
  <c r="C54" i="1" l="1"/>
  <c r="C53" i="1"/>
  <c r="C52" i="1"/>
  <c r="E49" i="1"/>
  <c r="D49" i="1"/>
  <c r="C49" i="1"/>
  <c r="Q47" i="1"/>
  <c r="P47" i="1"/>
  <c r="O47" i="1"/>
  <c r="K47" i="1"/>
  <c r="F47" i="1"/>
  <c r="Q46" i="1"/>
  <c r="P46" i="1"/>
  <c r="O46" i="1"/>
  <c r="K46" i="1"/>
  <c r="M46" i="1" s="1"/>
  <c r="F46" i="1"/>
  <c r="Q45" i="1"/>
  <c r="P45" i="1"/>
  <c r="O45" i="1"/>
  <c r="K45" i="1"/>
  <c r="F45" i="1"/>
  <c r="M45" i="1" s="1"/>
  <c r="Q44" i="1"/>
  <c r="P44" i="1"/>
  <c r="O44" i="1"/>
  <c r="M44" i="1"/>
  <c r="K44" i="1"/>
  <c r="F44" i="1"/>
  <c r="Q43" i="1"/>
  <c r="P43" i="1"/>
  <c r="O43" i="1"/>
  <c r="K43" i="1"/>
  <c r="F43" i="1"/>
  <c r="Q42" i="1"/>
  <c r="P42" i="1"/>
  <c r="O42" i="1"/>
  <c r="K42" i="1"/>
  <c r="F42" i="1"/>
  <c r="M42" i="1" s="1"/>
  <c r="Q41" i="1"/>
  <c r="P41" i="1"/>
  <c r="O41" i="1"/>
  <c r="K41" i="1"/>
  <c r="F41" i="1"/>
  <c r="J40" i="1"/>
  <c r="Q40" i="1" s="1"/>
  <c r="I40" i="1"/>
  <c r="P40" i="1" s="1"/>
  <c r="H40" i="1"/>
  <c r="O40" i="1" s="1"/>
  <c r="F40" i="1"/>
  <c r="P39" i="1"/>
  <c r="O39" i="1"/>
  <c r="J39" i="1"/>
  <c r="Q39" i="1" s="1"/>
  <c r="F39" i="1"/>
  <c r="Q38" i="1"/>
  <c r="P38" i="1"/>
  <c r="O38" i="1"/>
  <c r="K38" i="1"/>
  <c r="J38" i="1"/>
  <c r="F38" i="1"/>
  <c r="M38" i="1" s="1"/>
  <c r="Q37" i="1"/>
  <c r="P37" i="1"/>
  <c r="O37" i="1"/>
  <c r="K37" i="1"/>
  <c r="F37" i="1"/>
  <c r="M37" i="1" s="1"/>
  <c r="Q36" i="1"/>
  <c r="P36" i="1"/>
  <c r="O36" i="1"/>
  <c r="K36" i="1"/>
  <c r="F36" i="1"/>
  <c r="M36" i="1" s="1"/>
  <c r="P35" i="1"/>
  <c r="O35" i="1"/>
  <c r="J35" i="1"/>
  <c r="Q35" i="1" s="1"/>
  <c r="F35" i="1"/>
  <c r="P34" i="1"/>
  <c r="O34" i="1"/>
  <c r="J34" i="1"/>
  <c r="Q34" i="1" s="1"/>
  <c r="I34" i="1"/>
  <c r="H34" i="1"/>
  <c r="F34" i="1"/>
  <c r="Q33" i="1"/>
  <c r="P33" i="1"/>
  <c r="O33" i="1"/>
  <c r="K33" i="1"/>
  <c r="J33" i="1"/>
  <c r="I33" i="1"/>
  <c r="H33" i="1"/>
  <c r="F33" i="1"/>
  <c r="J32" i="1"/>
  <c r="Q32" i="1" s="1"/>
  <c r="I32" i="1"/>
  <c r="P32" i="1" s="1"/>
  <c r="H32" i="1"/>
  <c r="O32" i="1" s="1"/>
  <c r="F32" i="1"/>
  <c r="Q31" i="1"/>
  <c r="P31" i="1"/>
  <c r="O31" i="1"/>
  <c r="K31" i="1"/>
  <c r="F31" i="1"/>
  <c r="M31" i="1" s="1"/>
  <c r="Q30" i="1"/>
  <c r="P30" i="1"/>
  <c r="O30" i="1"/>
  <c r="K30" i="1"/>
  <c r="F30" i="1"/>
  <c r="M30" i="1" s="1"/>
  <c r="Q29" i="1"/>
  <c r="P29" i="1"/>
  <c r="O29" i="1"/>
  <c r="K29" i="1"/>
  <c r="F29" i="1"/>
  <c r="M29" i="1" s="1"/>
  <c r="Q28" i="1"/>
  <c r="P28" i="1"/>
  <c r="O28" i="1"/>
  <c r="K28" i="1"/>
  <c r="F28" i="1"/>
  <c r="M28" i="1" s="1"/>
  <c r="Q27" i="1"/>
  <c r="I27" i="1"/>
  <c r="P27" i="1" s="1"/>
  <c r="H27" i="1"/>
  <c r="O27" i="1" s="1"/>
  <c r="F27" i="1"/>
  <c r="Q26" i="1"/>
  <c r="P26" i="1"/>
  <c r="O26" i="1"/>
  <c r="M26" i="1"/>
  <c r="K26" i="1"/>
  <c r="F26" i="1"/>
  <c r="P25" i="1"/>
  <c r="O25" i="1"/>
  <c r="J25" i="1"/>
  <c r="K25" i="1" s="1"/>
  <c r="F25" i="1"/>
  <c r="P24" i="1"/>
  <c r="O24" i="1"/>
  <c r="J24" i="1"/>
  <c r="Q24" i="1" s="1"/>
  <c r="I24" i="1"/>
  <c r="H24" i="1"/>
  <c r="K24" i="1" s="1"/>
  <c r="F24" i="1"/>
  <c r="Q23" i="1"/>
  <c r="P23" i="1"/>
  <c r="O23" i="1"/>
  <c r="K23" i="1"/>
  <c r="F23" i="1"/>
  <c r="Q22" i="1"/>
  <c r="P22" i="1"/>
  <c r="O22" i="1"/>
  <c r="K22" i="1"/>
  <c r="M22" i="1" s="1"/>
  <c r="F22" i="1"/>
  <c r="Q21" i="1"/>
  <c r="P21" i="1"/>
  <c r="O21" i="1"/>
  <c r="K21" i="1"/>
  <c r="F21" i="1"/>
  <c r="M21" i="1" s="1"/>
  <c r="Q20" i="1"/>
  <c r="O20" i="1"/>
  <c r="J20" i="1"/>
  <c r="I20" i="1"/>
  <c r="P20" i="1" s="1"/>
  <c r="H20" i="1"/>
  <c r="F20" i="1"/>
  <c r="Q19" i="1"/>
  <c r="P19" i="1"/>
  <c r="O19" i="1"/>
  <c r="K19" i="1"/>
  <c r="F19" i="1"/>
  <c r="Q18" i="1"/>
  <c r="P18" i="1"/>
  <c r="O18" i="1"/>
  <c r="K18" i="1"/>
  <c r="F18" i="1"/>
  <c r="M18" i="1" s="1"/>
  <c r="P17" i="1"/>
  <c r="O17" i="1"/>
  <c r="J17" i="1"/>
  <c r="Q17" i="1" s="1"/>
  <c r="I17" i="1"/>
  <c r="H17" i="1"/>
  <c r="F17" i="1"/>
  <c r="K16" i="1"/>
  <c r="F16" i="1"/>
  <c r="M16" i="1" s="1"/>
  <c r="K15" i="1"/>
  <c r="F15" i="1"/>
  <c r="M15" i="1" s="1"/>
  <c r="K14" i="1"/>
  <c r="F14" i="1"/>
  <c r="M25" i="1" l="1"/>
  <c r="F49" i="1"/>
  <c r="K17" i="1"/>
  <c r="M17" i="1" s="1"/>
  <c r="M33" i="1"/>
  <c r="K35" i="1"/>
  <c r="K39" i="1"/>
  <c r="M41" i="1"/>
  <c r="M35" i="1"/>
  <c r="M39" i="1"/>
  <c r="M24" i="1"/>
  <c r="I49" i="1"/>
  <c r="K20" i="1"/>
  <c r="M20" i="1" s="1"/>
  <c r="M23" i="1"/>
  <c r="Q25" i="1"/>
  <c r="K34" i="1"/>
  <c r="M34" i="1" s="1"/>
  <c r="M47" i="1"/>
  <c r="M19" i="1"/>
  <c r="M43" i="1"/>
  <c r="M14" i="1"/>
  <c r="K27" i="1"/>
  <c r="H49" i="1"/>
  <c r="K32" i="1"/>
  <c r="M32" i="1" s="1"/>
  <c r="K40" i="1"/>
  <c r="M40" i="1" s="1"/>
  <c r="J49" i="1"/>
  <c r="K49" i="1" l="1"/>
  <c r="M49" i="1" s="1"/>
  <c r="M27" i="1"/>
</calcChain>
</file>

<file path=xl/sharedStrings.xml><?xml version="1.0" encoding="utf-8"?>
<sst xmlns="http://schemas.openxmlformats.org/spreadsheetml/2006/main" count="987" uniqueCount="128">
  <si>
    <t>Formato (0379_BCN) Base de Conciliación de Las Nóminas.</t>
  </si>
  <si>
    <t>FORMATO CONCILIACIÓN DE NOMINAS ANUAL 2024</t>
  </si>
  <si>
    <t>NOMBRE DE LA ENTIDAD: SECRETARIA DE FINANZAS Y ADMINISTRACIÓN</t>
  </si>
  <si>
    <t xml:space="preserve">MES:  ENERO </t>
  </si>
  <si>
    <t>SERVICIOS PERSONALES</t>
  </si>
  <si>
    <t>NOMINAS FISICAS/ DOCUMENTAL</t>
  </si>
  <si>
    <t>REGISTROS CONTABLES</t>
  </si>
  <si>
    <t>(A)</t>
  </si>
  <si>
    <t>(B)</t>
  </si>
  <si>
    <t>(C)</t>
  </si>
  <si>
    <t>(D)</t>
  </si>
  <si>
    <t>(E)</t>
  </si>
  <si>
    <t>E</t>
  </si>
  <si>
    <t>NOMBRE DE LA CUENTA</t>
  </si>
  <si>
    <t>IMPORTES (RESUMEN 1ERAS QUINCENA)</t>
  </si>
  <si>
    <t>(+) IMPORTES (RESUMEN 2DAS QUINCENA)</t>
  </si>
  <si>
    <t>(+) IMPORTES (RESUMEN EXTRAORDINARIA)</t>
  </si>
  <si>
    <t>(=) TOTAL ANUAL</t>
  </si>
  <si>
    <t>DIFERENCIAS</t>
  </si>
  <si>
    <t>1100 REMUNERACIONES AL PERSONAL DE CARACTER PERMANENTE</t>
  </si>
  <si>
    <t>111 Dietas</t>
  </si>
  <si>
    <t>112 Haberes</t>
  </si>
  <si>
    <t>113 Sueldos base al personal permanente</t>
  </si>
  <si>
    <t>(1)</t>
  </si>
  <si>
    <t>114 Remuneraciones por adscripción laboral en el extranjero</t>
  </si>
  <si>
    <t>1200 REMUNERACIONES AL PERSONAL DE CARACTER TRANSITORIO</t>
  </si>
  <si>
    <t>121 Honorarios asimilables a salarios</t>
  </si>
  <si>
    <t>122 Sueldos base al personal eventual</t>
  </si>
  <si>
    <t>123 Retribuciones por servicios de carácter social</t>
  </si>
  <si>
    <t>1300 REMUNERACIONES ADICIONALES Y ESPECIALES</t>
  </si>
  <si>
    <t>131 Primas por años de servicios efectivos prestados</t>
  </si>
  <si>
    <t>132 Primas de vacaciones, dominical y gratificación de fin de año</t>
  </si>
  <si>
    <t>133 Horas extraordinarias</t>
  </si>
  <si>
    <t>134 Compensaciones</t>
  </si>
  <si>
    <t>135 Sobrehaberes</t>
  </si>
  <si>
    <t>136 Asignaciones de técnico, de mando, por comisión, de vuelo y de técnico especial</t>
  </si>
  <si>
    <t>138 Participaciones por vigilancia en el cumplimiento de las leyes y custodia de valores</t>
  </si>
  <si>
    <t>G</t>
  </si>
  <si>
    <t>141 Aportaciones de Seguridad Social</t>
  </si>
  <si>
    <t>142 Aportaciones a Fondos de Vivienda</t>
  </si>
  <si>
    <t>143 Aportaciones al Sistema para el Retiro</t>
  </si>
  <si>
    <t>144 Aportaciones para Seguros</t>
  </si>
  <si>
    <t>(2)</t>
  </si>
  <si>
    <t>1500 OTRAS PRESTACIONES SOCIALES Y ECONOMICAS</t>
  </si>
  <si>
    <t>151 Cuotas para el fondo de ahorro y fondo de trabajo</t>
  </si>
  <si>
    <t>152 Indemnizaciones</t>
  </si>
  <si>
    <t>(3)</t>
  </si>
  <si>
    <t>153 Prestaciones y haberes de retiro</t>
  </si>
  <si>
    <t>154 Prestaciones contractuales</t>
  </si>
  <si>
    <t>155 Apoyos a la capacitación de los servidores públicos</t>
  </si>
  <si>
    <t>159 Otras prestaciones sociales y económicas</t>
  </si>
  <si>
    <t>1600 PREVISIONES</t>
  </si>
  <si>
    <t>161 Previsiones de carácter laboral, económica y de seguridad social</t>
  </si>
  <si>
    <t>1700 PAGO DE ESTIMULOS A SERVIDORES PUBLICOS</t>
  </si>
  <si>
    <t>171 Estímulos</t>
  </si>
  <si>
    <t>172 Recompensas</t>
  </si>
  <si>
    <t>SUMAS</t>
  </si>
  <si>
    <r>
      <rPr>
        <b/>
        <sz val="10"/>
        <color rgb="FFFF0000"/>
        <rFont val="Arial"/>
        <family val="2"/>
      </rPr>
      <t>(  F )</t>
    </r>
    <r>
      <rPr>
        <b/>
        <sz val="10"/>
        <color theme="1"/>
        <rFont val="Arial"/>
        <family val="2"/>
      </rPr>
      <t xml:space="preserve"> Notas aclaratorias de las diferencias determinadas:</t>
    </r>
  </si>
  <si>
    <t>IMPORTE</t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</si>
  <si>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Reclasificaciones de la Dirección de recursos Humanos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</si>
  <si>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Póliza de Seguro de Vida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</si>
  <si>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Laudos S.E.P.</t>
    </r>
  </si>
  <si>
    <t>Elaboro</t>
  </si>
  <si>
    <t>Autorizo</t>
  </si>
  <si>
    <t>L.C. Norman Nava Rojas</t>
  </si>
  <si>
    <t>L. Jesús Aguilar Covarrubias</t>
  </si>
  <si>
    <t>L.C. Yesenia María Graciano Verdugo</t>
  </si>
  <si>
    <t>L.C. Alma Gabriela Agundez Maldonado</t>
  </si>
  <si>
    <t>“Bajo protesta de decir verdad declaramos que los Estados Financieros y sus notas, son razonablemente correctos y son responsabilidad del emisor”.  
"Sello oficial del Ente Público"</t>
  </si>
  <si>
    <r>
      <t xml:space="preserve">4 </t>
    </r>
    <r>
      <rPr>
        <sz val="10"/>
        <color theme="1"/>
        <rFont val="Arial"/>
        <family val="2"/>
      </rPr>
      <t>Diferecia en el Registro de Nómina</t>
    </r>
  </si>
  <si>
    <t>(1,4)</t>
  </si>
  <si>
    <t>1400 SEGURIDAD SOCIAL</t>
  </si>
  <si>
    <t>MES:  FEBRERO</t>
  </si>
  <si>
    <t>2 Laudos S.E.P.</t>
  </si>
  <si>
    <t>MES:  MARZO</t>
  </si>
  <si>
    <t>MES: ABRIL</t>
  </si>
  <si>
    <t>MES:  MAYO</t>
  </si>
  <si>
    <r>
      <rPr>
        <b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Apoyo de Lentes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</si>
  <si>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Laudos S.E.P.</t>
    </r>
  </si>
  <si>
    <t>(1,3)</t>
  </si>
  <si>
    <t>MES:  JUNIO</t>
  </si>
  <si>
    <r>
      <t>4</t>
    </r>
    <r>
      <rPr>
        <sz val="10"/>
        <color theme="1"/>
        <rFont val="Arial"/>
        <family val="2"/>
      </rPr>
      <t xml:space="preserve"> Diferencia Nómina de Prestaciones</t>
    </r>
  </si>
  <si>
    <r>
      <t xml:space="preserve">3 </t>
    </r>
    <r>
      <rPr>
        <sz val="10"/>
        <color theme="1"/>
        <rFont val="Arial"/>
        <family val="2"/>
      </rPr>
      <t>Reclasificaciones Dirección de Politica y Control Presupuestario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</si>
  <si>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Reclasificaciones Dirección de Recursos Humanos</t>
    </r>
  </si>
  <si>
    <t>(1,3,4)</t>
  </si>
  <si>
    <t>MES: JULIO</t>
  </si>
  <si>
    <r>
      <t>4</t>
    </r>
    <r>
      <rPr>
        <sz val="10"/>
        <color theme="1"/>
        <rFont val="Arial"/>
        <family val="2"/>
      </rPr>
      <t xml:space="preserve"> Reversas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</si>
  <si>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Laudos Fiscalización</t>
    </r>
  </si>
  <si>
    <t>(2,3)</t>
  </si>
  <si>
    <t>MES: AGOSTO</t>
  </si>
  <si>
    <r>
      <t xml:space="preserve">6 </t>
    </r>
    <r>
      <rPr>
        <sz val="10"/>
        <color theme="1"/>
        <rFont val="Arial"/>
        <family val="2"/>
      </rPr>
      <t>Diferencia Nómina de Prestaciones</t>
    </r>
  </si>
  <si>
    <r>
      <t xml:space="preserve">5 </t>
    </r>
    <r>
      <rPr>
        <sz val="10"/>
        <color theme="1"/>
        <rFont val="Arial"/>
        <family val="2"/>
      </rPr>
      <t>Reversas</t>
    </r>
  </si>
  <si>
    <r>
      <t>4</t>
    </r>
    <r>
      <rPr>
        <sz val="10"/>
        <color theme="1"/>
        <rFont val="Arial"/>
        <family val="2"/>
      </rPr>
      <t xml:space="preserve"> Laudos Fiscalización</t>
    </r>
  </si>
  <si>
    <r>
      <t xml:space="preserve">2 </t>
    </r>
    <r>
      <rPr>
        <sz val="10"/>
        <color theme="1"/>
        <rFont val="Arial"/>
        <family val="2"/>
      </rPr>
      <t>Reclasificaciones de la Dirección Politica y Control Presupuestario</t>
    </r>
  </si>
  <si>
    <t>(1,2,5,6)</t>
  </si>
  <si>
    <t>(5)</t>
  </si>
  <si>
    <t>(3,4)</t>
  </si>
  <si>
    <t>(1,2)</t>
  </si>
  <si>
    <t>(1,5)</t>
  </si>
  <si>
    <t>MES: SEPTIEMBRE</t>
  </si>
  <si>
    <t>6 Nómina 42</t>
  </si>
  <si>
    <t>5 Reversas</t>
  </si>
  <si>
    <t>4 Apoyo de Lentes</t>
  </si>
  <si>
    <t>3 Reclasificaciones de Dirección de Politica y Control Presupuestario</t>
  </si>
  <si>
    <t>1 Reclasificaciones de la Dirección de Recursos Humanos</t>
  </si>
  <si>
    <r>
      <t xml:space="preserve">7 </t>
    </r>
    <r>
      <rPr>
        <sz val="10"/>
        <color theme="1"/>
        <rFont val="Arial"/>
        <family val="2"/>
      </rPr>
      <t xml:space="preserve"> Nómina Periodo 42</t>
    </r>
  </si>
  <si>
    <r>
      <t xml:space="preserve">6 </t>
    </r>
    <r>
      <rPr>
        <sz val="10"/>
        <color theme="1"/>
        <rFont val="Arial"/>
        <family val="2"/>
      </rPr>
      <t>Devolución de Excedente</t>
    </r>
  </si>
  <si>
    <r>
      <t>4</t>
    </r>
    <r>
      <rPr>
        <sz val="10"/>
        <color theme="1"/>
        <rFont val="Arial"/>
        <family val="2"/>
      </rPr>
      <t xml:space="preserve"> Apoyos a Lentes</t>
    </r>
  </si>
  <si>
    <t>(1,2,4,)</t>
  </si>
  <si>
    <t>(1,2,7)</t>
  </si>
  <si>
    <t>(6)</t>
  </si>
  <si>
    <t>MES: OCTUBRE</t>
  </si>
  <si>
    <r>
      <t xml:space="preserve">3 </t>
    </r>
    <r>
      <rPr>
        <sz val="10"/>
        <color theme="1"/>
        <rFont val="Arial"/>
        <family val="2"/>
      </rPr>
      <t>Apoyo de Vuelos</t>
    </r>
  </si>
  <si>
    <r>
      <rPr>
        <b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Apoyos a Lentes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</si>
  <si>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Broxel</t>
    </r>
  </si>
  <si>
    <t>MES: NOVIEMBRE</t>
  </si>
  <si>
    <r>
      <t xml:space="preserve">9 </t>
    </r>
    <r>
      <rPr>
        <sz val="10"/>
        <color theme="1"/>
        <rFont val="Arial"/>
        <family val="2"/>
      </rPr>
      <t>Diferncia Nómina de Prestaciones</t>
    </r>
  </si>
  <si>
    <r>
      <rPr>
        <b/>
        <sz val="10"/>
        <color theme="1"/>
        <rFont val="Arial"/>
        <family val="2"/>
      </rPr>
      <t xml:space="preserve">8 </t>
    </r>
    <r>
      <rPr>
        <sz val="10"/>
        <color theme="1"/>
        <rFont val="Arial"/>
        <family val="2"/>
      </rPr>
      <t xml:space="preserve">Apoyo a Lentes </t>
    </r>
  </si>
  <si>
    <r>
      <rPr>
        <b/>
        <sz val="10"/>
        <color theme="1"/>
        <rFont val="Arial"/>
        <family val="2"/>
      </rPr>
      <t xml:space="preserve">7 </t>
    </r>
    <r>
      <rPr>
        <sz val="10"/>
        <color theme="1"/>
        <rFont val="Arial"/>
        <family val="2"/>
      </rPr>
      <t>Reversa s</t>
    </r>
  </si>
  <si>
    <r>
      <rPr>
        <b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Laudo </t>
    </r>
  </si>
  <si>
    <r>
      <rPr>
        <b/>
        <sz val="10"/>
        <color theme="1"/>
        <rFont val="Arial"/>
        <family val="2"/>
      </rPr>
      <t xml:space="preserve">5 </t>
    </r>
    <r>
      <rPr>
        <sz val="10"/>
        <color theme="1"/>
        <rFont val="Arial"/>
        <family val="2"/>
      </rPr>
      <t>Periodo 29 Dirección de Política y Control Presupuestario</t>
    </r>
  </si>
  <si>
    <r>
      <rPr>
        <b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Diferencia Perido 28</t>
    </r>
  </si>
  <si>
    <r>
      <rPr>
        <b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Reclasificaciones Dirección de Politica y Control Presupuestario</t>
    </r>
  </si>
  <si>
    <t>(1,3,8)</t>
  </si>
  <si>
    <t>(2,6,7,9)</t>
  </si>
  <si>
    <t>(1,3,4,5)</t>
  </si>
  <si>
    <t>(1,3,5)</t>
  </si>
  <si>
    <t>MES: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</si>
</sst>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2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43" fontId="5" fillId="0" borderId="0" xfId="1" applyFont="1"/>
    <xf numFmtId="0" fontId="5" fillId="0" borderId="0" xfId="0" applyFont="1" applyAlignment="1">
      <alignment horizontal="center"/>
    </xf>
    <xf numFmtId="43" fontId="7" fillId="2" borderId="5" xfId="1" applyFont="1" applyFill="1" applyBorder="1" applyAlignment="1">
      <alignment vertical="center"/>
    </xf>
    <xf numFmtId="43" fontId="8" fillId="2" borderId="6" xfId="1" applyFont="1" applyFill="1" applyBorder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7" fillId="2" borderId="4" xfId="1" applyFont="1" applyFill="1" applyBorder="1" applyAlignment="1">
      <alignment horizontal="center" vertical="center" wrapText="1"/>
    </xf>
    <xf numFmtId="43" fontId="10" fillId="0" borderId="0" xfId="1" applyFont="1" applyBorder="1" applyAlignment="1">
      <alignment horizontal="center"/>
    </xf>
    <xf numFmtId="0" fontId="11" fillId="0" borderId="0" xfId="0" applyFont="1"/>
    <xf numFmtId="0" fontId="10" fillId="0" borderId="1" xfId="0" applyFont="1" applyBorder="1" applyAlignment="1">
      <alignment horizontal="left"/>
    </xf>
    <xf numFmtId="4" fontId="10" fillId="0" borderId="8" xfId="1" applyNumberFormat="1" applyFont="1" applyBorder="1"/>
    <xf numFmtId="4" fontId="10" fillId="0" borderId="1" xfId="1" applyNumberFormat="1" applyFont="1" applyBorder="1"/>
    <xf numFmtId="4" fontId="11" fillId="0" borderId="0" xfId="0" applyNumberFormat="1" applyFont="1"/>
    <xf numFmtId="4" fontId="11" fillId="0" borderId="1" xfId="1" applyNumberFormat="1" applyFont="1" applyFill="1" applyBorder="1"/>
    <xf numFmtId="0" fontId="11" fillId="0" borderId="1" xfId="0" applyFont="1" applyBorder="1" applyAlignment="1">
      <alignment horizontal="left"/>
    </xf>
    <xf numFmtId="4" fontId="11" fillId="0" borderId="8" xfId="1" applyNumberFormat="1" applyFont="1" applyFill="1" applyBorder="1"/>
    <xf numFmtId="4" fontId="11" fillId="0" borderId="8" xfId="1" applyNumberFormat="1" applyFont="1" applyBorder="1"/>
    <xf numFmtId="4" fontId="11" fillId="0" borderId="1" xfId="1" applyNumberFormat="1" applyFont="1" applyBorder="1"/>
    <xf numFmtId="4" fontId="10" fillId="0" borderId="0" xfId="0" applyNumberFormat="1" applyFont="1"/>
    <xf numFmtId="0" fontId="7" fillId="0" borderId="0" xfId="0" applyFont="1"/>
    <xf numFmtId="4" fontId="11" fillId="0" borderId="8" xfId="0" applyNumberFormat="1" applyFont="1" applyBorder="1"/>
    <xf numFmtId="4" fontId="11" fillId="0" borderId="1" xfId="0" applyNumberFormat="1" applyFont="1" applyBorder="1"/>
    <xf numFmtId="4" fontId="11" fillId="3" borderId="1" xfId="1" applyNumberFormat="1" applyFont="1" applyFill="1" applyBorder="1"/>
    <xf numFmtId="49" fontId="5" fillId="0" borderId="0" xfId="0" applyNumberFormat="1" applyFont="1" applyAlignment="1">
      <alignment horizontal="center"/>
    </xf>
    <xf numFmtId="4" fontId="0" fillId="0" borderId="0" xfId="0" applyNumberFormat="1"/>
    <xf numFmtId="44" fontId="11" fillId="0" borderId="0" xfId="0" applyNumberFormat="1" applyFont="1"/>
    <xf numFmtId="4" fontId="5" fillId="0" borderId="0" xfId="0" applyNumberFormat="1" applyFont="1"/>
    <xf numFmtId="0" fontId="11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4" fontId="9" fillId="0" borderId="8" xfId="0" applyNumberFormat="1" applyFont="1" applyBorder="1"/>
    <xf numFmtId="4" fontId="9" fillId="0" borderId="1" xfId="0" applyNumberFormat="1" applyFont="1" applyBorder="1"/>
    <xf numFmtId="4" fontId="10" fillId="4" borderId="8" xfId="1" applyNumberFormat="1" applyFont="1" applyFill="1" applyBorder="1"/>
    <xf numFmtId="4" fontId="10" fillId="4" borderId="1" xfId="1" applyNumberFormat="1" applyFont="1" applyFill="1" applyBorder="1"/>
    <xf numFmtId="4" fontId="10" fillId="5" borderId="1" xfId="1" applyNumberFormat="1" applyFont="1" applyFill="1" applyBorder="1"/>
    <xf numFmtId="0" fontId="9" fillId="0" borderId="0" xfId="0" applyFont="1"/>
    <xf numFmtId="43" fontId="11" fillId="0" borderId="0" xfId="1" applyFont="1"/>
    <xf numFmtId="43" fontId="10" fillId="0" borderId="1" xfId="1" applyFont="1" applyBorder="1" applyAlignment="1">
      <alignment horizontal="center"/>
    </xf>
    <xf numFmtId="43" fontId="11" fillId="0" borderId="1" xfId="1" applyFont="1" applyBorder="1"/>
    <xf numFmtId="0" fontId="11" fillId="0" borderId="8" xfId="0" applyFont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43" fontId="11" fillId="0" borderId="0" xfId="0" applyNumberFormat="1" applyFont="1"/>
    <xf numFmtId="0" fontId="10" fillId="0" borderId="0" xfId="0" applyFont="1" applyAlignment="1">
      <alignment horizontal="left"/>
    </xf>
    <xf numFmtId="43" fontId="7" fillId="0" borderId="0" xfId="1" applyFont="1" applyBorder="1" applyAlignment="1">
      <alignment horizontal="center"/>
    </xf>
    <xf numFmtId="43" fontId="5" fillId="0" borderId="0" xfId="1" applyFont="1" applyBorder="1"/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0" fillId="6" borderId="1" xfId="1" applyNumberFormat="1" applyFont="1" applyFill="1" applyBorder="1"/>
    <xf numFmtId="43" fontId="11" fillId="0" borderId="0" xfId="1" applyFont="1" applyBorder="1"/>
    <xf numFmtId="43" fontId="5" fillId="0" borderId="0" xfId="0" applyNumberFormat="1" applyFont="1"/>
    <xf numFmtId="4" fontId="10" fillId="0" borderId="1" xfId="1" applyNumberFormat="1" applyFont="1" applyFill="1" applyBorder="1"/>
    <xf numFmtId="0" fontId="10" fillId="0" borderId="7" xfId="0" applyFont="1" applyBorder="1" applyAlignment="1">
      <alignment horizontal="left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7" fillId="5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3" fontId="0" fillId="0" borderId="0" xfId="1" applyFont="1"/>
    <xf numFmtId="43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10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4" fontId="11" fillId="3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11" fillId="0" borderId="1" xfId="1" applyNumberFormat="1" applyFont="1" applyBorder="1"/>
    <xf numFmtId="0" fontId="14" fillId="0" borderId="1" xfId="0" applyFont="1" applyBorder="1" applyAlignment="1">
      <alignment horizontal="left"/>
    </xf>
    <xf numFmtId="49" fontId="11" fillId="0" borderId="0" xfId="0" applyNumberFormat="1" applyFont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43" fontId="7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12%20AUX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3%20AUX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2%20AUX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1%20AU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11%20AU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10%20AU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9%20AU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8%20AU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7%20AUX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6%20AUX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5%20AUX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%20AGUNDEZ\Downloads\2404%20AU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5"/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DIC"/>
    </sheetNames>
    <sheetDataSet>
      <sheetData sheetId="0" refreshError="1"/>
      <sheetData sheetId="1">
        <row r="2505">
          <cell r="G2505">
            <v>35338237.350000001</v>
          </cell>
          <cell r="H2505">
            <v>11040.61</v>
          </cell>
        </row>
        <row r="2506">
          <cell r="G2506">
            <v>36014616.599999994</v>
          </cell>
          <cell r="H2506">
            <v>4079.27</v>
          </cell>
          <cell r="K2506">
            <v>9.9000036716461182E-3</v>
          </cell>
        </row>
        <row r="2507">
          <cell r="G2507">
            <v>29199128.410000004</v>
          </cell>
        </row>
        <row r="2508">
          <cell r="G2508">
            <v>34001109.479999997</v>
          </cell>
        </row>
        <row r="2509">
          <cell r="G2509">
            <v>783595.37</v>
          </cell>
        </row>
        <row r="2510">
          <cell r="G2510">
            <v>565025.13000000012</v>
          </cell>
        </row>
        <row r="2511">
          <cell r="H2511">
            <v>22504165.289999999</v>
          </cell>
        </row>
        <row r="2512">
          <cell r="G2512">
            <v>195224</v>
          </cell>
          <cell r="H2512">
            <v>406773.83</v>
          </cell>
        </row>
        <row r="2513">
          <cell r="G2513">
            <v>8000</v>
          </cell>
        </row>
      </sheetData>
      <sheetData sheetId="2">
        <row r="33">
          <cell r="G33">
            <v>242017</v>
          </cell>
        </row>
        <row r="34">
          <cell r="H34">
            <v>130284</v>
          </cell>
        </row>
      </sheetData>
      <sheetData sheetId="3">
        <row r="54">
          <cell r="G54">
            <v>866351.12999999989</v>
          </cell>
        </row>
        <row r="55">
          <cell r="G55">
            <v>325986.87</v>
          </cell>
        </row>
        <row r="56">
          <cell r="G56">
            <v>-6895.6</v>
          </cell>
        </row>
        <row r="57">
          <cell r="G57">
            <v>533130.34</v>
          </cell>
        </row>
        <row r="62">
          <cell r="H62">
            <v>1015160.6900000001</v>
          </cell>
        </row>
      </sheetData>
      <sheetData sheetId="4" refreshError="1"/>
      <sheetData sheetId="5">
        <row r="395">
          <cell r="G395">
            <v>241305.11</v>
          </cell>
        </row>
        <row r="396">
          <cell r="G396">
            <v>241305.11</v>
          </cell>
        </row>
        <row r="397">
          <cell r="H397">
            <v>55520.759999999995</v>
          </cell>
        </row>
        <row r="398">
          <cell r="H398">
            <v>4346.88</v>
          </cell>
        </row>
      </sheetData>
      <sheetData sheetId="6">
        <row r="556">
          <cell r="G556">
            <v>1122772.56</v>
          </cell>
        </row>
        <row r="557">
          <cell r="G557">
            <v>1120211.53</v>
          </cell>
        </row>
        <row r="558">
          <cell r="H558">
            <v>556164.94999999995</v>
          </cell>
        </row>
        <row r="559">
          <cell r="H559">
            <v>4883.9799999999996</v>
          </cell>
        </row>
      </sheetData>
      <sheetData sheetId="7">
        <row r="1614">
          <cell r="G1614">
            <v>3400836.0100000002</v>
          </cell>
        </row>
        <row r="1615">
          <cell r="G1615">
            <v>3393078.58</v>
          </cell>
        </row>
        <row r="1616">
          <cell r="H1616">
            <v>1380084.6700000002</v>
          </cell>
        </row>
        <row r="1617">
          <cell r="H1617">
            <v>14793.560000000001</v>
          </cell>
        </row>
      </sheetData>
      <sheetData sheetId="8">
        <row r="286">
          <cell r="G286">
            <v>846840.38</v>
          </cell>
        </row>
        <row r="287">
          <cell r="G287">
            <v>846840.38</v>
          </cell>
        </row>
        <row r="288">
          <cell r="H288">
            <v>12343.24</v>
          </cell>
        </row>
        <row r="289">
          <cell r="H289">
            <v>1465264.1099999999</v>
          </cell>
        </row>
      </sheetData>
      <sheetData sheetId="9">
        <row r="1587">
          <cell r="G1587">
            <v>15485594.900000002</v>
          </cell>
          <cell r="H1587">
            <v>19284.919999999998</v>
          </cell>
        </row>
        <row r="1588">
          <cell r="H1588">
            <v>19284.919999999998</v>
          </cell>
        </row>
        <row r="1589">
          <cell r="G1589">
            <v>89177330.370000005</v>
          </cell>
        </row>
        <row r="1590">
          <cell r="G1590">
            <v>107739.91</v>
          </cell>
          <cell r="H1590">
            <v>54231.18</v>
          </cell>
        </row>
        <row r="1591">
          <cell r="G1591">
            <v>587060.59</v>
          </cell>
        </row>
        <row r="1592">
          <cell r="H1592">
            <v>5310292.54</v>
          </cell>
        </row>
        <row r="1593">
          <cell r="G1593">
            <v>29777397.850000001</v>
          </cell>
        </row>
        <row r="1594">
          <cell r="H1594">
            <v>311484.52</v>
          </cell>
        </row>
      </sheetData>
      <sheetData sheetId="10">
        <row r="1347">
          <cell r="G1347">
            <v>2867361.13</v>
          </cell>
        </row>
        <row r="1348">
          <cell r="G1348">
            <v>2871012.12</v>
          </cell>
        </row>
        <row r="1349">
          <cell r="H1349">
            <v>13193.32</v>
          </cell>
        </row>
        <row r="1350">
          <cell r="H1350">
            <v>617970.27999999991</v>
          </cell>
        </row>
      </sheetData>
      <sheetData sheetId="11">
        <row r="396">
          <cell r="G396">
            <v>5427032.4800000004</v>
          </cell>
        </row>
        <row r="397">
          <cell r="G397">
            <v>5377994.9800000004</v>
          </cell>
        </row>
        <row r="398">
          <cell r="G398">
            <v>9511986.8900000006</v>
          </cell>
        </row>
        <row r="399">
          <cell r="G399">
            <v>44100</v>
          </cell>
        </row>
      </sheetData>
      <sheetData sheetId="12">
        <row r="3246">
          <cell r="G3246">
            <v>21700018.449999999</v>
          </cell>
          <cell r="H3246">
            <v>973.83999999999992</v>
          </cell>
        </row>
        <row r="3247">
          <cell r="G3247">
            <v>21649762.75</v>
          </cell>
          <cell r="H3247">
            <v>262.81</v>
          </cell>
        </row>
        <row r="3248">
          <cell r="H3248">
            <v>1892.93</v>
          </cell>
        </row>
        <row r="3249">
          <cell r="H3249">
            <v>8505769.6400000006</v>
          </cell>
        </row>
        <row r="3250">
          <cell r="H3250">
            <v>85336.36</v>
          </cell>
        </row>
        <row r="3251">
          <cell r="G3251">
            <v>378248.77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MAR"/>
    </sheetNames>
    <sheetDataSet>
      <sheetData sheetId="0">
        <row r="92">
          <cell r="G92">
            <v>33567655.089999996</v>
          </cell>
        </row>
        <row r="93">
          <cell r="G93">
            <v>37868371.729999997</v>
          </cell>
        </row>
        <row r="94">
          <cell r="G94">
            <v>363301.5</v>
          </cell>
          <cell r="H94">
            <v>24923.7</v>
          </cell>
        </row>
        <row r="95">
          <cell r="H95">
            <v>1018790.7</v>
          </cell>
        </row>
      </sheetData>
      <sheetData sheetId="1">
        <row r="33">
          <cell r="G33">
            <v>278139.63999999996</v>
          </cell>
        </row>
      </sheetData>
      <sheetData sheetId="2">
        <row r="135">
          <cell r="G135">
            <v>495102.65</v>
          </cell>
        </row>
        <row r="136">
          <cell r="G136">
            <v>7793700.040000001</v>
          </cell>
        </row>
      </sheetData>
      <sheetData sheetId="3" refreshError="1"/>
      <sheetData sheetId="4">
        <row r="32">
          <cell r="F32">
            <v>223619.57</v>
          </cell>
        </row>
        <row r="33">
          <cell r="F33">
            <v>222880.08</v>
          </cell>
        </row>
        <row r="35">
          <cell r="G35">
            <v>12623.060000000001</v>
          </cell>
        </row>
      </sheetData>
      <sheetData sheetId="5">
        <row r="32">
          <cell r="F32">
            <v>1070692.02</v>
          </cell>
        </row>
        <row r="33">
          <cell r="F33">
            <v>1069493.5900000001</v>
          </cell>
        </row>
        <row r="35">
          <cell r="G35">
            <v>38534.480000000003</v>
          </cell>
        </row>
      </sheetData>
      <sheetData sheetId="6">
        <row r="46">
          <cell r="G46">
            <v>3243087.24</v>
          </cell>
        </row>
        <row r="47">
          <cell r="G47">
            <v>3239457.0999999996</v>
          </cell>
        </row>
        <row r="49">
          <cell r="H49">
            <v>116720.68</v>
          </cell>
        </row>
      </sheetData>
      <sheetData sheetId="7">
        <row r="52">
          <cell r="G52">
            <v>563102.79</v>
          </cell>
        </row>
        <row r="53">
          <cell r="G53">
            <v>541111.32000000007</v>
          </cell>
        </row>
        <row r="54">
          <cell r="H54">
            <v>13206.4</v>
          </cell>
        </row>
      </sheetData>
      <sheetData sheetId="8">
        <row r="71">
          <cell r="G71">
            <v>46617.099999999991</v>
          </cell>
          <cell r="H71">
            <v>17619.62</v>
          </cell>
        </row>
      </sheetData>
      <sheetData sheetId="9">
        <row r="53">
          <cell r="G53">
            <v>2752127.19</v>
          </cell>
        </row>
        <row r="54">
          <cell r="G54">
            <v>2751069.25</v>
          </cell>
        </row>
        <row r="55">
          <cell r="H55">
            <v>126954.58000000002</v>
          </cell>
        </row>
      </sheetData>
      <sheetData sheetId="10">
        <row r="45">
          <cell r="F45">
            <v>4898173.88</v>
          </cell>
        </row>
        <row r="46">
          <cell r="F46">
            <v>4914544.72</v>
          </cell>
        </row>
      </sheetData>
      <sheetData sheetId="11">
        <row r="160">
          <cell r="G160">
            <v>20852032.470000006</v>
          </cell>
        </row>
        <row r="161">
          <cell r="G161">
            <v>20850178.289999999</v>
          </cell>
        </row>
        <row r="162">
          <cell r="G162">
            <v>286856.06000000006</v>
          </cell>
          <cell r="H162">
            <v>36604.559999999998</v>
          </cell>
        </row>
        <row r="163">
          <cell r="H163">
            <v>757482.3</v>
          </cell>
        </row>
      </sheetData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Hoja1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FEB"/>
    </sheetNames>
    <sheetDataSet>
      <sheetData sheetId="0">
        <row r="85">
          <cell r="G85">
            <v>32267405.91</v>
          </cell>
          <cell r="L85">
            <v>3164386.2499999963</v>
          </cell>
        </row>
        <row r="86">
          <cell r="G86">
            <v>35780456.590000004</v>
          </cell>
        </row>
        <row r="87">
          <cell r="G87">
            <v>4000</v>
          </cell>
        </row>
        <row r="88">
          <cell r="H88">
            <v>1526259.8200000003</v>
          </cell>
        </row>
      </sheetData>
      <sheetData sheetId="1" refreshError="1"/>
      <sheetData sheetId="2">
        <row r="47">
          <cell r="G47">
            <v>808665.31999999983</v>
          </cell>
        </row>
      </sheetData>
      <sheetData sheetId="3">
        <row r="90">
          <cell r="G90">
            <v>495102.65</v>
          </cell>
        </row>
        <row r="91">
          <cell r="G91">
            <v>7643758.200000003</v>
          </cell>
        </row>
      </sheetData>
      <sheetData sheetId="4">
        <row r="19">
          <cell r="F19">
            <v>605433.22</v>
          </cell>
        </row>
      </sheetData>
      <sheetData sheetId="5">
        <row r="28">
          <cell r="F28">
            <v>221479.11</v>
          </cell>
        </row>
        <row r="29">
          <cell r="F29">
            <v>222770.09</v>
          </cell>
        </row>
        <row r="30">
          <cell r="G30">
            <v>21762.81</v>
          </cell>
        </row>
      </sheetData>
      <sheetData sheetId="6">
        <row r="36">
          <cell r="F36">
            <v>1076636.75</v>
          </cell>
        </row>
        <row r="37">
          <cell r="F37">
            <v>1073394.6499999999</v>
          </cell>
        </row>
        <row r="38">
          <cell r="F38">
            <v>613.9</v>
          </cell>
          <cell r="G38">
            <v>73166.00999999998</v>
          </cell>
          <cell r="J38">
            <v>72552.109999999986</v>
          </cell>
        </row>
      </sheetData>
      <sheetData sheetId="7">
        <row r="45">
          <cell r="G45">
            <v>3261093.5200000005</v>
          </cell>
        </row>
        <row r="46">
          <cell r="G46">
            <v>3251273.2</v>
          </cell>
        </row>
        <row r="47">
          <cell r="G47">
            <v>1859.5</v>
          </cell>
          <cell r="H47">
            <v>221619.34</v>
          </cell>
          <cell r="K47">
            <v>219759.84</v>
          </cell>
        </row>
      </sheetData>
      <sheetData sheetId="8">
        <row r="49">
          <cell r="F49">
            <v>561616.53</v>
          </cell>
        </row>
        <row r="50">
          <cell r="F50">
            <v>551632.62000000011</v>
          </cell>
        </row>
        <row r="51">
          <cell r="G51">
            <v>18775.5</v>
          </cell>
        </row>
      </sheetData>
      <sheetData sheetId="9">
        <row r="50">
          <cell r="G50">
            <v>4938.17</v>
          </cell>
        </row>
        <row r="51">
          <cell r="G51">
            <v>56072.800000000003</v>
          </cell>
        </row>
      </sheetData>
      <sheetData sheetId="10">
        <row r="53">
          <cell r="G53">
            <v>2735033.8299999996</v>
          </cell>
        </row>
        <row r="54">
          <cell r="G54">
            <v>2743302.5599999996</v>
          </cell>
        </row>
        <row r="55">
          <cell r="H55">
            <v>194165.84</v>
          </cell>
        </row>
      </sheetData>
      <sheetData sheetId="11">
        <row r="45">
          <cell r="F45">
            <v>4651244.72</v>
          </cell>
        </row>
        <row r="46">
          <cell r="F46">
            <v>5148578.04</v>
          </cell>
        </row>
        <row r="48">
          <cell r="G48">
            <v>4937.5</v>
          </cell>
        </row>
      </sheetData>
      <sheetData sheetId="12">
        <row r="144">
          <cell r="G144">
            <v>20982639.899999999</v>
          </cell>
        </row>
        <row r="145">
          <cell r="G145">
            <v>20922425.179999996</v>
          </cell>
        </row>
        <row r="146">
          <cell r="G146">
            <v>121169.59</v>
          </cell>
        </row>
        <row r="147">
          <cell r="G147">
            <v>6139</v>
          </cell>
          <cell r="H147">
            <v>1161247.4500000002</v>
          </cell>
          <cell r="K147">
            <v>1155108.4500000002</v>
          </cell>
        </row>
      </sheetData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ENE"/>
    </sheetNames>
    <sheetDataSet>
      <sheetData sheetId="0">
        <row r="88">
          <cell r="G88">
            <v>37599860.519999996</v>
          </cell>
        </row>
        <row r="89">
          <cell r="G89">
            <v>35322088.430000007</v>
          </cell>
        </row>
        <row r="90">
          <cell r="G90">
            <v>6000</v>
          </cell>
        </row>
        <row r="92">
          <cell r="H92">
            <v>139383.04000000001</v>
          </cell>
        </row>
      </sheetData>
      <sheetData sheetId="1">
        <row r="32">
          <cell r="F32">
            <v>268930.48000000004</v>
          </cell>
        </row>
      </sheetData>
      <sheetData sheetId="2">
        <row r="56">
          <cell r="G56">
            <v>495102.65</v>
          </cell>
        </row>
        <row r="57">
          <cell r="G57">
            <v>2956292.23</v>
          </cell>
        </row>
      </sheetData>
      <sheetData sheetId="3">
        <row r="22">
          <cell r="F22">
            <v>605433.22</v>
          </cell>
        </row>
      </sheetData>
      <sheetData sheetId="4">
        <row r="22">
          <cell r="F22">
            <v>223283.71</v>
          </cell>
        </row>
        <row r="23">
          <cell r="F23">
            <v>221029.91</v>
          </cell>
        </row>
        <row r="25">
          <cell r="G25">
            <v>3060</v>
          </cell>
        </row>
      </sheetData>
      <sheetData sheetId="5">
        <row r="27">
          <cell r="F27">
            <v>1097807.79</v>
          </cell>
        </row>
        <row r="28">
          <cell r="F28">
            <v>1071036.67</v>
          </cell>
        </row>
        <row r="30">
          <cell r="G30">
            <v>5385.9999999999991</v>
          </cell>
        </row>
      </sheetData>
      <sheetData sheetId="6">
        <row r="31">
          <cell r="F31">
            <v>3325219.17</v>
          </cell>
        </row>
        <row r="32">
          <cell r="F32">
            <v>3244131.17</v>
          </cell>
        </row>
        <row r="34">
          <cell r="G34">
            <v>16314.16</v>
          </cell>
        </row>
      </sheetData>
      <sheetData sheetId="7">
        <row r="48">
          <cell r="F48">
            <v>529506.08000000007</v>
          </cell>
        </row>
        <row r="49">
          <cell r="F49">
            <v>496963.74</v>
          </cell>
        </row>
      </sheetData>
      <sheetData sheetId="8">
        <row r="56">
          <cell r="G56">
            <v>139049.93999999997</v>
          </cell>
        </row>
      </sheetData>
      <sheetData sheetId="9">
        <row r="49">
          <cell r="G49">
            <v>2760636.77</v>
          </cell>
        </row>
        <row r="50">
          <cell r="G50">
            <v>2721649.76</v>
          </cell>
        </row>
        <row r="51">
          <cell r="H51">
            <v>17923</v>
          </cell>
        </row>
      </sheetData>
      <sheetData sheetId="10">
        <row r="49">
          <cell r="F49">
            <v>3636168.56</v>
          </cell>
        </row>
        <row r="50">
          <cell r="F50">
            <v>4746644.2200000007</v>
          </cell>
        </row>
        <row r="51">
          <cell r="F51">
            <v>928854.15999999992</v>
          </cell>
        </row>
      </sheetData>
      <sheetData sheetId="11">
        <row r="133">
          <cell r="G133">
            <v>21436332.760000002</v>
          </cell>
        </row>
        <row r="134">
          <cell r="G134">
            <v>20931452.719999999</v>
          </cell>
        </row>
        <row r="135">
          <cell r="G135">
            <v>33041.9</v>
          </cell>
        </row>
        <row r="136">
          <cell r="H136">
            <v>107719.9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5"/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NOV"/>
    </sheetNames>
    <sheetDataSet>
      <sheetData sheetId="0">
        <row r="11">
          <cell r="F11">
            <v>12874.32</v>
          </cell>
        </row>
      </sheetData>
      <sheetData sheetId="1">
        <row r="74">
          <cell r="F74">
            <v>37775819.769999996</v>
          </cell>
          <cell r="G74">
            <v>885.36</v>
          </cell>
        </row>
        <row r="75">
          <cell r="F75">
            <v>38666846.07</v>
          </cell>
          <cell r="G75">
            <v>12437.04</v>
          </cell>
        </row>
        <row r="76">
          <cell r="F76">
            <v>14433</v>
          </cell>
        </row>
        <row r="77">
          <cell r="F77">
            <v>25464</v>
          </cell>
        </row>
      </sheetData>
      <sheetData sheetId="2">
        <row r="36">
          <cell r="G36">
            <v>386091</v>
          </cell>
        </row>
      </sheetData>
      <sheetData sheetId="3">
        <row r="43">
          <cell r="F43">
            <v>1826370.8399999999</v>
          </cell>
        </row>
        <row r="44">
          <cell r="F44">
            <v>6895.6</v>
          </cell>
        </row>
      </sheetData>
      <sheetData sheetId="4" refreshError="1"/>
      <sheetData sheetId="5">
        <row r="21">
          <cell r="F21">
            <v>238454.36</v>
          </cell>
        </row>
        <row r="22">
          <cell r="F22">
            <v>240713.37</v>
          </cell>
        </row>
      </sheetData>
      <sheetData sheetId="6">
        <row r="23">
          <cell r="F23">
            <v>1115944.93</v>
          </cell>
        </row>
        <row r="24">
          <cell r="F24">
            <v>1118216.97</v>
          </cell>
        </row>
      </sheetData>
      <sheetData sheetId="7">
        <row r="27">
          <cell r="F27">
            <v>3380155.2</v>
          </cell>
        </row>
        <row r="28">
          <cell r="F28">
            <v>3387037.2199999997</v>
          </cell>
        </row>
      </sheetData>
      <sheetData sheetId="8">
        <row r="73">
          <cell r="F73">
            <v>797357.80999999994</v>
          </cell>
        </row>
        <row r="74">
          <cell r="F74">
            <v>831325.53</v>
          </cell>
        </row>
      </sheetData>
      <sheetData sheetId="9">
        <row r="73">
          <cell r="F73">
            <v>272194.58000000007</v>
          </cell>
        </row>
      </sheetData>
      <sheetData sheetId="10">
        <row r="42">
          <cell r="F42">
            <v>2852188.64</v>
          </cell>
        </row>
        <row r="43">
          <cell r="F43">
            <v>2862150.17</v>
          </cell>
        </row>
      </sheetData>
      <sheetData sheetId="11">
        <row r="50">
          <cell r="F50">
            <v>5377144.9799999995</v>
          </cell>
        </row>
        <row r="51">
          <cell r="F51">
            <v>5452378.2999999998</v>
          </cell>
        </row>
      </sheetData>
      <sheetData sheetId="12">
        <row r="135">
          <cell r="G135">
            <v>21613951.909999996</v>
          </cell>
          <cell r="H135">
            <v>442.68</v>
          </cell>
        </row>
        <row r="136">
          <cell r="G136">
            <v>21626443.059999995</v>
          </cell>
          <cell r="H136">
            <v>1416.52</v>
          </cell>
        </row>
        <row r="137">
          <cell r="H137">
            <v>4511.05</v>
          </cell>
        </row>
        <row r="138">
          <cell r="G138">
            <v>308717.88999999996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OCT"/>
    </sheetNames>
    <sheetDataSet>
      <sheetData sheetId="0">
        <row r="115">
          <cell r="G115">
            <v>37086181.410000004</v>
          </cell>
          <cell r="H115">
            <v>1657.99</v>
          </cell>
        </row>
        <row r="116">
          <cell r="G116">
            <v>38533678.829999998</v>
          </cell>
          <cell r="H116">
            <v>885.36</v>
          </cell>
        </row>
        <row r="117">
          <cell r="G117">
            <v>468348.36000000004</v>
          </cell>
          <cell r="H117">
            <v>5608.88</v>
          </cell>
        </row>
        <row r="118">
          <cell r="G118">
            <v>2071157.3299999998</v>
          </cell>
        </row>
        <row r="119">
          <cell r="H119">
            <v>19640.560000000001</v>
          </cell>
        </row>
        <row r="120">
          <cell r="H120">
            <v>948645.37999999989</v>
          </cell>
        </row>
        <row r="121">
          <cell r="G121">
            <v>793628</v>
          </cell>
        </row>
      </sheetData>
      <sheetData sheetId="1">
        <row r="47">
          <cell r="F47">
            <v>-35866</v>
          </cell>
        </row>
        <row r="48">
          <cell r="G48">
            <v>2636.26</v>
          </cell>
        </row>
        <row r="49">
          <cell r="F49">
            <v>524463.54</v>
          </cell>
        </row>
      </sheetData>
      <sheetData sheetId="2">
        <row r="45">
          <cell r="F45">
            <v>375266.08</v>
          </cell>
        </row>
        <row r="46">
          <cell r="F46">
            <v>1696493.1900000002</v>
          </cell>
        </row>
      </sheetData>
      <sheetData sheetId="3" refreshError="1"/>
      <sheetData sheetId="4">
        <row r="24">
          <cell r="F24">
            <v>237866.45</v>
          </cell>
        </row>
        <row r="25">
          <cell r="F25">
            <v>238818.66</v>
          </cell>
        </row>
        <row r="26">
          <cell r="G26">
            <v>13868.779999999999</v>
          </cell>
        </row>
      </sheetData>
      <sheetData sheetId="5">
        <row r="31">
          <cell r="F31">
            <v>1108380.1599999999</v>
          </cell>
        </row>
        <row r="32">
          <cell r="F32">
            <v>1108605.27</v>
          </cell>
        </row>
        <row r="33">
          <cell r="G33">
            <v>373.4</v>
          </cell>
        </row>
        <row r="34">
          <cell r="G34">
            <v>39542.74</v>
          </cell>
        </row>
        <row r="35">
          <cell r="F35">
            <v>560.1</v>
          </cell>
        </row>
      </sheetData>
      <sheetData sheetId="6">
        <row r="42">
          <cell r="G42">
            <v>3357241.99</v>
          </cell>
        </row>
        <row r="43">
          <cell r="G43">
            <v>3357923.8600000003</v>
          </cell>
        </row>
        <row r="44">
          <cell r="H44">
            <v>1131</v>
          </cell>
        </row>
        <row r="45">
          <cell r="H45">
            <v>119774.52000000002</v>
          </cell>
        </row>
        <row r="46">
          <cell r="G46">
            <v>1696.52</v>
          </cell>
        </row>
      </sheetData>
      <sheetData sheetId="7">
        <row r="69">
          <cell r="F69">
            <v>736623.08000000007</v>
          </cell>
        </row>
        <row r="70">
          <cell r="F70">
            <v>765126.83000000007</v>
          </cell>
        </row>
        <row r="71">
          <cell r="G71">
            <v>25931.119999999999</v>
          </cell>
        </row>
      </sheetData>
      <sheetData sheetId="8">
        <row r="69">
          <cell r="G69">
            <v>236489.49000000005</v>
          </cell>
        </row>
      </sheetData>
      <sheetData sheetId="9">
        <row r="48">
          <cell r="F48">
            <v>2831365.5700000003</v>
          </cell>
        </row>
        <row r="49">
          <cell r="F49">
            <v>2841634.0199999996</v>
          </cell>
        </row>
        <row r="50">
          <cell r="G50">
            <v>746.8</v>
          </cell>
        </row>
        <row r="51">
          <cell r="G51">
            <v>125709.9</v>
          </cell>
        </row>
      </sheetData>
      <sheetData sheetId="10">
        <row r="47">
          <cell r="F47">
            <v>5346065.82</v>
          </cell>
        </row>
        <row r="48">
          <cell r="F48">
            <v>5408803.2799999993</v>
          </cell>
          <cell r="G48">
            <v>6962.5</v>
          </cell>
        </row>
        <row r="50">
          <cell r="G50">
            <v>36500</v>
          </cell>
        </row>
      </sheetData>
      <sheetData sheetId="11">
        <row r="147">
          <cell r="G147">
            <v>21519991.469999995</v>
          </cell>
          <cell r="H147">
            <v>442.68</v>
          </cell>
        </row>
        <row r="148">
          <cell r="G148">
            <v>21494856.019999996</v>
          </cell>
          <cell r="H148">
            <v>442.68</v>
          </cell>
        </row>
        <row r="149">
          <cell r="G149">
            <v>11229.849999999999</v>
          </cell>
        </row>
        <row r="150">
          <cell r="H150">
            <v>768529.5199999999</v>
          </cell>
        </row>
        <row r="151">
          <cell r="H151">
            <v>7467.9</v>
          </cell>
        </row>
        <row r="152">
          <cell r="G152">
            <v>72437.17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SEP"/>
    </sheetNames>
    <sheetDataSet>
      <sheetData sheetId="0">
        <row r="96">
          <cell r="G96">
            <v>37832274.07</v>
          </cell>
        </row>
        <row r="97">
          <cell r="G97">
            <v>37017915.350000001</v>
          </cell>
          <cell r="H97">
            <v>59502.85</v>
          </cell>
        </row>
        <row r="98">
          <cell r="G98">
            <v>185923.95999999996</v>
          </cell>
          <cell r="H98">
            <v>36272.1</v>
          </cell>
        </row>
        <row r="99">
          <cell r="G99">
            <v>14944.56</v>
          </cell>
        </row>
        <row r="100">
          <cell r="H100">
            <v>19640.560000000001</v>
          </cell>
        </row>
        <row r="101">
          <cell r="H101">
            <v>917512.12</v>
          </cell>
        </row>
        <row r="102">
          <cell r="G102">
            <v>-15561</v>
          </cell>
        </row>
        <row r="103">
          <cell r="G103">
            <v>15561</v>
          </cell>
        </row>
        <row r="105">
          <cell r="I105">
            <v>74018130.310000002</v>
          </cell>
        </row>
      </sheetData>
      <sheetData sheetId="1">
        <row r="35">
          <cell r="G35">
            <v>372984.48</v>
          </cell>
        </row>
        <row r="36">
          <cell r="G36">
            <v>35866</v>
          </cell>
        </row>
        <row r="39">
          <cell r="G39">
            <v>408850.48</v>
          </cell>
        </row>
      </sheetData>
      <sheetData sheetId="2">
        <row r="61">
          <cell r="F61">
            <v>424166.5</v>
          </cell>
        </row>
        <row r="62">
          <cell r="F62">
            <v>1653273.1800000002</v>
          </cell>
        </row>
        <row r="63">
          <cell r="F63">
            <v>2009708.42</v>
          </cell>
        </row>
        <row r="66">
          <cell r="H66">
            <v>4087148.1</v>
          </cell>
        </row>
      </sheetData>
      <sheetData sheetId="3" refreshError="1"/>
      <sheetData sheetId="4">
        <row r="28">
          <cell r="F28">
            <v>238004.2</v>
          </cell>
        </row>
        <row r="29">
          <cell r="F29">
            <v>320901.14</v>
          </cell>
        </row>
        <row r="31">
          <cell r="F31">
            <v>266.98</v>
          </cell>
        </row>
        <row r="32">
          <cell r="G32">
            <v>16309.19</v>
          </cell>
        </row>
        <row r="35">
          <cell r="H35">
            <v>542863.13000000012</v>
          </cell>
        </row>
      </sheetData>
      <sheetData sheetId="5">
        <row r="33">
          <cell r="F33">
            <v>1109687.01</v>
          </cell>
        </row>
        <row r="34">
          <cell r="F34">
            <v>1531189.04</v>
          </cell>
        </row>
        <row r="35">
          <cell r="F35">
            <v>1867</v>
          </cell>
        </row>
        <row r="36">
          <cell r="F36">
            <v>186.7</v>
          </cell>
        </row>
        <row r="37">
          <cell r="G37">
            <v>448.08</v>
          </cell>
        </row>
        <row r="38">
          <cell r="G38">
            <v>47104.709999999992</v>
          </cell>
        </row>
        <row r="41">
          <cell r="H41">
            <v>2595376.96</v>
          </cell>
        </row>
      </sheetData>
      <sheetData sheetId="6">
        <row r="48">
          <cell r="F48">
            <v>3361200.5300000003</v>
          </cell>
        </row>
        <row r="49">
          <cell r="F49">
            <v>4637924.47</v>
          </cell>
        </row>
        <row r="50">
          <cell r="F50">
            <v>5655.1</v>
          </cell>
        </row>
        <row r="51">
          <cell r="F51">
            <v>565.5</v>
          </cell>
        </row>
        <row r="52">
          <cell r="G52">
            <v>1357.2</v>
          </cell>
        </row>
        <row r="53">
          <cell r="G53">
            <v>142679.75</v>
          </cell>
        </row>
        <row r="56">
          <cell r="H56">
            <v>7861308.6499999994</v>
          </cell>
        </row>
      </sheetData>
      <sheetData sheetId="7">
        <row r="73">
          <cell r="F73">
            <v>752226.3</v>
          </cell>
        </row>
        <row r="74">
          <cell r="F74">
            <v>731222.15000000014</v>
          </cell>
        </row>
        <row r="75">
          <cell r="G75">
            <v>25931.119999999999</v>
          </cell>
        </row>
        <row r="78">
          <cell r="H78">
            <v>1457517.33</v>
          </cell>
        </row>
        <row r="82">
          <cell r="G82">
            <v>55422.849999999977</v>
          </cell>
        </row>
      </sheetData>
      <sheetData sheetId="8">
        <row r="89">
          <cell r="G89">
            <v>297222.60000000003</v>
          </cell>
        </row>
        <row r="92">
          <cell r="G92">
            <v>297222.60000000003</v>
          </cell>
        </row>
      </sheetData>
      <sheetData sheetId="9">
        <row r="51">
          <cell r="F51">
            <v>2814396.9</v>
          </cell>
        </row>
        <row r="52">
          <cell r="F52">
            <v>2824798.08</v>
          </cell>
        </row>
        <row r="54">
          <cell r="F54">
            <v>373.4</v>
          </cell>
        </row>
        <row r="55">
          <cell r="G55">
            <v>125709.9</v>
          </cell>
        </row>
        <row r="56">
          <cell r="G56">
            <v>746.8</v>
          </cell>
        </row>
        <row r="59">
          <cell r="H59">
            <v>5513111.6800000006</v>
          </cell>
        </row>
      </sheetData>
      <sheetData sheetId="10">
        <row r="45">
          <cell r="F45">
            <v>5622419.9799999995</v>
          </cell>
        </row>
        <row r="46">
          <cell r="F46">
            <v>5417894.9799999995</v>
          </cell>
        </row>
      </sheetData>
      <sheetData sheetId="11">
        <row r="158">
          <cell r="G158">
            <v>21531137.439999998</v>
          </cell>
        </row>
        <row r="159">
          <cell r="G159">
            <v>30210328.129999995</v>
          </cell>
        </row>
        <row r="160">
          <cell r="G160">
            <v>37339.5</v>
          </cell>
        </row>
        <row r="161">
          <cell r="G161">
            <v>3733.95</v>
          </cell>
        </row>
        <row r="162">
          <cell r="H162">
            <v>8961.48</v>
          </cell>
        </row>
        <row r="163">
          <cell r="H163">
            <v>917904.78999999992</v>
          </cell>
        </row>
        <row r="164">
          <cell r="G164">
            <v>664771.64</v>
          </cell>
        </row>
        <row r="166">
          <cell r="I166">
            <v>51520444.389999993</v>
          </cell>
        </row>
      </sheetData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AGO"/>
    </sheetNames>
    <sheetDataSet>
      <sheetData sheetId="0">
        <row r="33">
          <cell r="G33">
            <v>2489.3000000000002</v>
          </cell>
        </row>
        <row r="94">
          <cell r="F94">
            <v>49324927.499999993</v>
          </cell>
        </row>
        <row r="95">
          <cell r="F95">
            <v>38501755.150000006</v>
          </cell>
        </row>
        <row r="96">
          <cell r="F96">
            <v>7482334.6299999999</v>
          </cell>
        </row>
        <row r="97">
          <cell r="F97">
            <v>-7656.33</v>
          </cell>
        </row>
        <row r="98">
          <cell r="F98">
            <v>9656.33</v>
          </cell>
        </row>
        <row r="99">
          <cell r="G99">
            <v>1175307.6000000001</v>
          </cell>
        </row>
      </sheetData>
      <sheetData sheetId="1">
        <row r="47">
          <cell r="G47">
            <v>446422.06</v>
          </cell>
        </row>
      </sheetData>
      <sheetData sheetId="2">
        <row r="55">
          <cell r="G55">
            <v>557016.96</v>
          </cell>
        </row>
        <row r="56">
          <cell r="G56">
            <v>1084139.92</v>
          </cell>
        </row>
        <row r="57">
          <cell r="G57">
            <v>1495598.45</v>
          </cell>
        </row>
      </sheetData>
      <sheetData sheetId="3" refreshError="1"/>
      <sheetData sheetId="4">
        <row r="24">
          <cell r="F24">
            <v>237267.26</v>
          </cell>
        </row>
        <row r="25">
          <cell r="F25">
            <v>238549.79</v>
          </cell>
        </row>
        <row r="26">
          <cell r="G26">
            <v>13820.240000000002</v>
          </cell>
        </row>
      </sheetData>
      <sheetData sheetId="5">
        <row r="32">
          <cell r="F32">
            <v>1106870.96</v>
          </cell>
        </row>
        <row r="33">
          <cell r="F33">
            <v>1109428.53</v>
          </cell>
        </row>
        <row r="34">
          <cell r="G34">
            <v>40102.840000000004</v>
          </cell>
        </row>
      </sheetData>
      <sheetData sheetId="6">
        <row r="39">
          <cell r="F39">
            <v>3352670.8200000003</v>
          </cell>
        </row>
        <row r="40">
          <cell r="F40">
            <v>3360417.7600000002</v>
          </cell>
        </row>
        <row r="41">
          <cell r="G41">
            <v>121471.01999999999</v>
          </cell>
        </row>
      </sheetData>
      <sheetData sheetId="7">
        <row r="69">
          <cell r="F69">
            <v>693885.93</v>
          </cell>
        </row>
        <row r="70">
          <cell r="F70">
            <v>713523.37</v>
          </cell>
        </row>
        <row r="71">
          <cell r="G71">
            <v>25931.119999999999</v>
          </cell>
        </row>
      </sheetData>
      <sheetData sheetId="8">
        <row r="124">
          <cell r="G124">
            <v>269977.49</v>
          </cell>
        </row>
      </sheetData>
      <sheetData sheetId="9">
        <row r="49">
          <cell r="G49">
            <v>2804273.79</v>
          </cell>
        </row>
        <row r="50">
          <cell r="G50">
            <v>2808385.24</v>
          </cell>
        </row>
        <row r="51">
          <cell r="H51">
            <v>125087.58</v>
          </cell>
        </row>
      </sheetData>
      <sheetData sheetId="10">
        <row r="46">
          <cell r="F46">
            <v>5240140.8100000005</v>
          </cell>
        </row>
        <row r="47">
          <cell r="F47">
            <v>5359344.9799999995</v>
          </cell>
        </row>
      </sheetData>
      <sheetData sheetId="11">
        <row r="166">
          <cell r="G166">
            <v>21537783.239999995</v>
          </cell>
        </row>
        <row r="167">
          <cell r="G167">
            <v>21564671.25</v>
          </cell>
        </row>
        <row r="168">
          <cell r="H168">
            <v>776122.53</v>
          </cell>
        </row>
        <row r="169">
          <cell r="G169">
            <v>139829.29</v>
          </cell>
        </row>
      </sheetData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JUL"/>
    </sheetNames>
    <sheetDataSet>
      <sheetData sheetId="0">
        <row r="135">
          <cell r="G135">
            <v>35261747.629999995</v>
          </cell>
        </row>
        <row r="136">
          <cell r="G136">
            <v>49232786.799999997</v>
          </cell>
        </row>
        <row r="137">
          <cell r="G137">
            <v>1809444.91</v>
          </cell>
        </row>
        <row r="138">
          <cell r="H138">
            <v>1036027.0700000001</v>
          </cell>
        </row>
        <row r="139">
          <cell r="H139">
            <v>22129.86</v>
          </cell>
        </row>
        <row r="140">
          <cell r="G140">
            <v>578982.48</v>
          </cell>
        </row>
        <row r="147">
          <cell r="I147">
            <v>31122</v>
          </cell>
        </row>
      </sheetData>
      <sheetData sheetId="1">
        <row r="42">
          <cell r="F42">
            <v>586655.4</v>
          </cell>
        </row>
      </sheetData>
      <sheetData sheetId="2">
        <row r="82">
          <cell r="G82">
            <v>1804771.8800000001</v>
          </cell>
        </row>
        <row r="83">
          <cell r="G83">
            <v>3800630.76</v>
          </cell>
        </row>
      </sheetData>
      <sheetData sheetId="3" refreshError="1"/>
      <sheetData sheetId="4">
        <row r="24">
          <cell r="F24">
            <v>237677.51</v>
          </cell>
        </row>
        <row r="25">
          <cell r="F25">
            <v>237900.3</v>
          </cell>
        </row>
        <row r="26">
          <cell r="G26">
            <v>13771.7</v>
          </cell>
        </row>
      </sheetData>
      <sheetData sheetId="5">
        <row r="31">
          <cell r="F31">
            <v>1128388.74</v>
          </cell>
        </row>
        <row r="32">
          <cell r="F32">
            <v>1089454.76</v>
          </cell>
        </row>
        <row r="33">
          <cell r="G33">
            <v>373.4</v>
          </cell>
        </row>
        <row r="34">
          <cell r="G34">
            <v>54731.770000000004</v>
          </cell>
        </row>
        <row r="35">
          <cell r="F35">
            <v>152718.78</v>
          </cell>
        </row>
      </sheetData>
      <sheetData sheetId="6">
        <row r="38">
          <cell r="F38">
            <v>3417848.41</v>
          </cell>
        </row>
        <row r="39">
          <cell r="F39">
            <v>3299918.2199999997</v>
          </cell>
        </row>
        <row r="40">
          <cell r="F40">
            <v>158063.95000000001</v>
          </cell>
        </row>
        <row r="41">
          <cell r="G41">
            <v>1131</v>
          </cell>
        </row>
        <row r="42">
          <cell r="G42">
            <v>116261.26</v>
          </cell>
        </row>
      </sheetData>
      <sheetData sheetId="7">
        <row r="68">
          <cell r="F68">
            <v>776177.9800000001</v>
          </cell>
        </row>
        <row r="69">
          <cell r="F69">
            <v>597591.99</v>
          </cell>
        </row>
        <row r="70">
          <cell r="G70">
            <v>12965.56</v>
          </cell>
        </row>
      </sheetData>
      <sheetData sheetId="8">
        <row r="89">
          <cell r="G89">
            <v>15229540.550000001</v>
          </cell>
        </row>
        <row r="90">
          <cell r="G90">
            <v>6546.56</v>
          </cell>
        </row>
        <row r="91">
          <cell r="H91">
            <v>352761.15</v>
          </cell>
        </row>
        <row r="92">
          <cell r="H92">
            <v>1866.98</v>
          </cell>
        </row>
        <row r="93">
          <cell r="G93">
            <v>140478.44999999998</v>
          </cell>
        </row>
      </sheetData>
      <sheetData sheetId="9">
        <row r="48">
          <cell r="G48">
            <v>2787774.04</v>
          </cell>
        </row>
        <row r="49">
          <cell r="G49">
            <v>2791026.65</v>
          </cell>
        </row>
        <row r="50">
          <cell r="H50">
            <v>121602.56</v>
          </cell>
        </row>
        <row r="51">
          <cell r="H51">
            <v>746.8</v>
          </cell>
        </row>
      </sheetData>
      <sheetData sheetId="10">
        <row r="48">
          <cell r="F48">
            <v>5128637.1399999997</v>
          </cell>
        </row>
        <row r="49">
          <cell r="F49">
            <v>5219699.1400000006</v>
          </cell>
        </row>
      </sheetData>
      <sheetData sheetId="11">
        <row r="162">
          <cell r="G162">
            <v>21984619.609999996</v>
          </cell>
        </row>
        <row r="163">
          <cell r="G163">
            <v>21196133.579999998</v>
          </cell>
        </row>
        <row r="164">
          <cell r="G164">
            <v>677850.57000000007</v>
          </cell>
        </row>
        <row r="165">
          <cell r="H165">
            <v>7467.9</v>
          </cell>
        </row>
        <row r="166">
          <cell r="H166">
            <v>763863.86</v>
          </cell>
        </row>
        <row r="167">
          <cell r="G167">
            <v>66017.34</v>
          </cell>
        </row>
      </sheetData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JUN"/>
    </sheetNames>
    <sheetDataSet>
      <sheetData sheetId="0">
        <row r="86">
          <cell r="G86">
            <v>34531553.849999994</v>
          </cell>
        </row>
        <row r="87">
          <cell r="G87">
            <v>38002044.740000002</v>
          </cell>
        </row>
        <row r="88">
          <cell r="H88">
            <v>993484.58000000007</v>
          </cell>
        </row>
        <row r="89">
          <cell r="G89">
            <v>229176</v>
          </cell>
        </row>
      </sheetData>
      <sheetData sheetId="1">
        <row r="38">
          <cell r="F38">
            <v>484973.71999999991</v>
          </cell>
        </row>
      </sheetData>
      <sheetData sheetId="2">
        <row r="99">
          <cell r="G99">
            <v>1631113.43</v>
          </cell>
        </row>
        <row r="100">
          <cell r="G100">
            <v>6379673.2300000004</v>
          </cell>
        </row>
      </sheetData>
      <sheetData sheetId="3" refreshError="1"/>
      <sheetData sheetId="4">
        <row r="25">
          <cell r="F25">
            <v>233366.94</v>
          </cell>
        </row>
        <row r="26">
          <cell r="F26">
            <v>235352.17</v>
          </cell>
        </row>
        <row r="28">
          <cell r="G28">
            <v>13771.7</v>
          </cell>
        </row>
      </sheetData>
      <sheetData sheetId="5">
        <row r="31">
          <cell r="F31">
            <v>1090897.29</v>
          </cell>
        </row>
        <row r="32">
          <cell r="F32">
            <v>1111136.98</v>
          </cell>
        </row>
        <row r="34">
          <cell r="G34">
            <v>37902.229999999996</v>
          </cell>
        </row>
      </sheetData>
      <sheetData sheetId="6">
        <row r="39">
          <cell r="G39">
            <v>3304287.93</v>
          </cell>
        </row>
        <row r="40">
          <cell r="G40">
            <v>3365592.37</v>
          </cell>
        </row>
        <row r="42">
          <cell r="H42">
            <v>116106.91</v>
          </cell>
        </row>
      </sheetData>
      <sheetData sheetId="7">
        <row r="63">
          <cell r="G63">
            <v>625586.06000000006</v>
          </cell>
          <cell r="H63">
            <v>848.79</v>
          </cell>
        </row>
        <row r="64">
          <cell r="G64">
            <v>688789.95</v>
          </cell>
        </row>
        <row r="66">
          <cell r="H66">
            <v>6171.62</v>
          </cell>
        </row>
      </sheetData>
      <sheetData sheetId="8">
        <row r="86">
          <cell r="G86">
            <v>166087.76999999999</v>
          </cell>
        </row>
      </sheetData>
      <sheetData sheetId="9">
        <row r="48">
          <cell r="G48">
            <v>2780924.2800000003</v>
          </cell>
        </row>
        <row r="49">
          <cell r="G49">
            <v>2770336.45</v>
          </cell>
        </row>
        <row r="51">
          <cell r="H51">
            <v>128407.43999999999</v>
          </cell>
        </row>
      </sheetData>
      <sheetData sheetId="10">
        <row r="48">
          <cell r="F48">
            <v>5139503.32</v>
          </cell>
        </row>
        <row r="49">
          <cell r="F49">
            <v>5413461.6600000001</v>
          </cell>
        </row>
        <row r="50">
          <cell r="F50">
            <v>680</v>
          </cell>
        </row>
      </sheetData>
      <sheetData sheetId="11">
        <row r="149">
          <cell r="G149">
            <v>21205722.079999991</v>
          </cell>
        </row>
        <row r="150">
          <cell r="G150">
            <v>21701377.540000003</v>
          </cell>
        </row>
        <row r="151">
          <cell r="G151">
            <v>360781.13000000006</v>
          </cell>
        </row>
        <row r="152">
          <cell r="H152">
            <v>777899.5199999999</v>
          </cell>
        </row>
      </sheetData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MAY"/>
    </sheetNames>
    <sheetDataSet>
      <sheetData sheetId="0">
        <row r="88">
          <cell r="G88">
            <v>36297082.379999995</v>
          </cell>
        </row>
        <row r="89">
          <cell r="G89">
            <v>36538970.549999997</v>
          </cell>
        </row>
        <row r="90">
          <cell r="G90">
            <v>2000</v>
          </cell>
        </row>
        <row r="91">
          <cell r="H91">
            <v>1090317.07</v>
          </cell>
        </row>
      </sheetData>
      <sheetData sheetId="1">
        <row r="28">
          <cell r="F28">
            <v>238300.7</v>
          </cell>
        </row>
      </sheetData>
      <sheetData sheetId="2">
        <row r="109">
          <cell r="G109">
            <v>7280057.9799999995</v>
          </cell>
        </row>
        <row r="110">
          <cell r="G110">
            <v>1228050.95</v>
          </cell>
        </row>
      </sheetData>
      <sheetData sheetId="3">
        <row r="27">
          <cell r="F27">
            <v>453370.48</v>
          </cell>
        </row>
      </sheetData>
      <sheetData sheetId="4">
        <row r="26">
          <cell r="F26">
            <v>229835.91</v>
          </cell>
        </row>
        <row r="27">
          <cell r="F27">
            <v>231473.03</v>
          </cell>
        </row>
        <row r="29">
          <cell r="G29">
            <v>13528.99</v>
          </cell>
        </row>
      </sheetData>
      <sheetData sheetId="5">
        <row r="31">
          <cell r="F31">
            <v>1088251.97</v>
          </cell>
        </row>
        <row r="32">
          <cell r="F32">
            <v>1087869.28</v>
          </cell>
        </row>
        <row r="34">
          <cell r="G34">
            <v>40235.949999999997</v>
          </cell>
        </row>
      </sheetData>
      <sheetData sheetId="6">
        <row r="42">
          <cell r="G42">
            <v>3296275.29</v>
          </cell>
        </row>
        <row r="43">
          <cell r="G43">
            <v>3295116.0300000003</v>
          </cell>
        </row>
        <row r="44">
          <cell r="G44">
            <v>6077743.5</v>
          </cell>
        </row>
        <row r="45">
          <cell r="H45">
            <v>121874.24000000001</v>
          </cell>
        </row>
      </sheetData>
      <sheetData sheetId="7">
        <row r="52">
          <cell r="G52">
            <v>589773.18999999994</v>
          </cell>
          <cell r="H52">
            <v>848.79</v>
          </cell>
        </row>
        <row r="53">
          <cell r="G53">
            <v>569990.68000000005</v>
          </cell>
          <cell r="H53">
            <v>848.79</v>
          </cell>
        </row>
        <row r="54">
          <cell r="H54">
            <v>12343.24</v>
          </cell>
        </row>
      </sheetData>
      <sheetData sheetId="8">
        <row r="66">
          <cell r="G66">
            <v>29655.899999999998</v>
          </cell>
        </row>
      </sheetData>
      <sheetData sheetId="9">
        <row r="49">
          <cell r="G49">
            <v>2768896.82</v>
          </cell>
        </row>
        <row r="50">
          <cell r="G50">
            <v>2769012.97</v>
          </cell>
        </row>
        <row r="51">
          <cell r="H51">
            <v>127576.92000000001</v>
          </cell>
        </row>
      </sheetData>
      <sheetData sheetId="10">
        <row r="57">
          <cell r="G57">
            <v>4978120</v>
          </cell>
        </row>
        <row r="58">
          <cell r="G58">
            <v>5270015.83</v>
          </cell>
        </row>
        <row r="59">
          <cell r="H59">
            <v>128315</v>
          </cell>
        </row>
      </sheetData>
      <sheetData sheetId="11">
        <row r="145">
          <cell r="G145">
            <v>21178653.870000001</v>
          </cell>
        </row>
        <row r="146">
          <cell r="G146">
            <v>21186296.589999996</v>
          </cell>
        </row>
        <row r="147">
          <cell r="G147">
            <v>19250.52</v>
          </cell>
        </row>
        <row r="148">
          <cell r="H148">
            <v>792372.75999999989</v>
          </cell>
        </row>
      </sheetData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4"/>
      <sheetName val="153"/>
      <sheetName val="152"/>
      <sheetName val="144"/>
      <sheetName val="143"/>
      <sheetName val="142"/>
      <sheetName val="141"/>
      <sheetName val="134"/>
      <sheetName val="132"/>
      <sheetName val="131"/>
      <sheetName val="121"/>
      <sheetName val="113"/>
      <sheetName val="ABR"/>
    </sheetNames>
    <sheetDataSet>
      <sheetData sheetId="0">
        <row r="94">
          <cell r="G94">
            <v>32243716.549999997</v>
          </cell>
        </row>
        <row r="95">
          <cell r="G95">
            <v>36067162.950000003</v>
          </cell>
        </row>
        <row r="96">
          <cell r="G96">
            <v>14000</v>
          </cell>
        </row>
        <row r="97">
          <cell r="G97">
            <v>6743617.5500000007</v>
          </cell>
        </row>
        <row r="98">
          <cell r="H98">
            <v>1186481.5400000003</v>
          </cell>
        </row>
      </sheetData>
      <sheetData sheetId="1">
        <row r="24">
          <cell r="F24">
            <v>101224.62</v>
          </cell>
        </row>
      </sheetData>
      <sheetData sheetId="2">
        <row r="59">
          <cell r="G59">
            <v>782329.97</v>
          </cell>
        </row>
        <row r="60">
          <cell r="G60">
            <v>1407414.78</v>
          </cell>
        </row>
      </sheetData>
      <sheetData sheetId="3">
        <row r="24">
          <cell r="F24">
            <v>965079.86</v>
          </cell>
        </row>
      </sheetData>
      <sheetData sheetId="4">
        <row r="26">
          <cell r="F26">
            <v>224702.53</v>
          </cell>
        </row>
        <row r="27">
          <cell r="F27">
            <v>229734.75</v>
          </cell>
        </row>
        <row r="29">
          <cell r="G29">
            <v>12954.67</v>
          </cell>
        </row>
      </sheetData>
      <sheetData sheetId="5">
        <row r="35">
          <cell r="F35">
            <v>1069839.81</v>
          </cell>
        </row>
        <row r="36">
          <cell r="F36">
            <v>1091501.67</v>
          </cell>
        </row>
        <row r="37">
          <cell r="F37">
            <v>149126.53</v>
          </cell>
        </row>
        <row r="38">
          <cell r="G38">
            <v>46860.84</v>
          </cell>
        </row>
      </sheetData>
      <sheetData sheetId="6">
        <row r="48">
          <cell r="G48">
            <v>3240505.93</v>
          </cell>
        </row>
        <row r="49">
          <cell r="G49">
            <v>3306118.51</v>
          </cell>
        </row>
        <row r="50">
          <cell r="G50">
            <v>451698.74</v>
          </cell>
        </row>
        <row r="51">
          <cell r="H51">
            <v>141940.87</v>
          </cell>
        </row>
      </sheetData>
      <sheetData sheetId="7">
        <row r="48">
          <cell r="G48">
            <v>584903.10000000009</v>
          </cell>
        </row>
        <row r="49">
          <cell r="G49">
            <v>613586.80000000005</v>
          </cell>
          <cell r="H49">
            <v>848.79</v>
          </cell>
        </row>
        <row r="51">
          <cell r="H51">
            <v>12774.82</v>
          </cell>
        </row>
      </sheetData>
      <sheetData sheetId="8">
        <row r="59">
          <cell r="G59">
            <v>147172.27000000002</v>
          </cell>
        </row>
      </sheetData>
      <sheetData sheetId="9">
        <row r="45">
          <cell r="F45">
            <v>2762067.92</v>
          </cell>
        </row>
        <row r="46">
          <cell r="F46">
            <v>2775236.3</v>
          </cell>
        </row>
        <row r="48">
          <cell r="G48">
            <v>128199.24</v>
          </cell>
        </row>
      </sheetData>
      <sheetData sheetId="10">
        <row r="59">
          <cell r="F59">
            <v>5118844.5</v>
          </cell>
        </row>
        <row r="60">
          <cell r="F60">
            <v>5003720</v>
          </cell>
        </row>
        <row r="61">
          <cell r="F61">
            <v>267874.45</v>
          </cell>
        </row>
        <row r="62">
          <cell r="F62">
            <v>267874.45</v>
          </cell>
        </row>
        <row r="63">
          <cell r="F63">
            <v>267874.45</v>
          </cell>
        </row>
      </sheetData>
      <sheetData sheetId="11">
        <row r="137">
          <cell r="G137">
            <v>20813686.279999997</v>
          </cell>
        </row>
        <row r="138">
          <cell r="G138">
            <v>21219459.479999997</v>
          </cell>
        </row>
        <row r="139">
          <cell r="G139">
            <v>37453.049999999996</v>
          </cell>
        </row>
        <row r="140">
          <cell r="H140">
            <v>778351.86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4118-EA0C-413A-B21D-D20304EF3EB2}">
  <dimension ref="A1:AF73"/>
  <sheetViews>
    <sheetView tabSelected="1" zoomScale="77" zoomScaleNormal="77" workbookViewId="0">
      <selection activeCell="D61" sqref="D61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1.42578125" style="63"/>
    <col min="15" max="15" width="14.140625" style="78" bestFit="1" customWidth="1"/>
    <col min="16" max="16" width="11.42578125" style="78"/>
    <col min="17" max="17" width="13.7109375" style="78" customWidth="1"/>
    <col min="18" max="18" width="11.42578125" style="78"/>
    <col min="19" max="19" width="16.140625" style="78" customWidth="1"/>
    <col min="20" max="22" width="11.42578125" style="78"/>
    <col min="23" max="23" width="12.7109375" style="78" bestFit="1" customWidth="1"/>
    <col min="24" max="24" width="11.42578125" style="78"/>
    <col min="25" max="25" width="16" style="63" customWidth="1"/>
    <col min="26" max="26" width="11.42578125" style="63"/>
    <col min="27" max="27" width="15.28515625" style="63" customWidth="1"/>
    <col min="28" max="29" width="11.42578125" style="63"/>
    <col min="30" max="30" width="20.85546875" customWidth="1"/>
    <col min="31" max="31" width="13.140625" customWidth="1"/>
    <col min="32" max="32" width="17.140625" customWidth="1"/>
  </cols>
  <sheetData>
    <row r="1" spans="1:31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6"/>
      <c r="O1" s="80"/>
      <c r="P1" s="80"/>
      <c r="Q1" s="80"/>
      <c r="R1" s="80"/>
      <c r="S1" s="80"/>
      <c r="T1" s="80"/>
      <c r="U1" s="80"/>
      <c r="V1" s="80"/>
      <c r="W1" s="80"/>
      <c r="X1" s="80"/>
      <c r="Y1" s="86"/>
      <c r="Z1" s="86"/>
      <c r="AA1" s="86"/>
      <c r="AB1" s="86"/>
      <c r="AC1" s="86"/>
    </row>
    <row r="2" spans="1:31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  <c r="O2" s="80"/>
      <c r="P2" s="80"/>
      <c r="Q2" s="80"/>
      <c r="R2" s="80"/>
      <c r="S2" s="80"/>
      <c r="T2" s="80"/>
      <c r="U2" s="80"/>
      <c r="V2" s="80"/>
      <c r="W2" s="80"/>
      <c r="X2" s="80"/>
      <c r="Y2" s="5"/>
      <c r="Z2" s="5"/>
      <c r="AA2" s="5"/>
      <c r="AB2" s="5"/>
      <c r="AC2" s="5"/>
    </row>
    <row r="3" spans="1:31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"/>
      <c r="O3" s="80"/>
      <c r="P3" s="80"/>
      <c r="Q3" s="80"/>
      <c r="R3" s="80"/>
      <c r="S3" s="80"/>
      <c r="T3" s="80"/>
      <c r="U3" s="80"/>
      <c r="V3" s="80"/>
      <c r="W3" s="80"/>
      <c r="X3" s="80"/>
      <c r="Y3" s="5"/>
      <c r="Z3" s="5"/>
      <c r="AA3" s="5"/>
      <c r="AB3" s="5"/>
      <c r="AC3" s="5"/>
    </row>
    <row r="4" spans="1:31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5"/>
      <c r="O4" s="80"/>
      <c r="P4" s="80"/>
      <c r="Q4" s="80"/>
      <c r="R4" s="80"/>
      <c r="S4" s="80"/>
      <c r="T4" s="80"/>
      <c r="U4" s="80"/>
      <c r="V4" s="80"/>
      <c r="W4" s="80"/>
      <c r="X4" s="80"/>
      <c r="Y4" s="5"/>
      <c r="Z4" s="5"/>
      <c r="AA4" s="5"/>
      <c r="AB4" s="5"/>
      <c r="AC4" s="5"/>
    </row>
    <row r="5" spans="1:31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5"/>
      <c r="O5" s="80"/>
      <c r="P5" s="80"/>
      <c r="Q5" s="80"/>
      <c r="R5" s="80"/>
      <c r="S5" s="80"/>
      <c r="T5" s="80"/>
      <c r="U5" s="80"/>
      <c r="V5" s="80"/>
      <c r="W5" s="80"/>
      <c r="X5" s="80"/>
      <c r="Y5" s="5"/>
      <c r="Z5" s="5"/>
      <c r="AA5" s="5"/>
      <c r="AB5" s="5"/>
      <c r="AC5" s="5"/>
    </row>
    <row r="6" spans="1:31" ht="15" customHeight="1" x14ac:dyDescent="0.25">
      <c r="A6" s="90" t="s">
        <v>127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5"/>
      <c r="O6" s="80"/>
      <c r="P6" s="80"/>
      <c r="Q6" s="80"/>
      <c r="R6" s="80"/>
      <c r="S6" s="80"/>
      <c r="T6" s="80"/>
      <c r="U6" s="80"/>
      <c r="V6" s="80"/>
      <c r="W6" s="80"/>
      <c r="X6" s="80"/>
      <c r="Y6" s="5"/>
      <c r="Z6" s="5"/>
      <c r="AA6" s="5"/>
      <c r="AB6" s="5"/>
      <c r="AC6" s="5"/>
    </row>
    <row r="7" spans="1:31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5"/>
      <c r="O7" s="80"/>
      <c r="P7" s="80"/>
      <c r="Q7" s="80"/>
      <c r="R7" s="80"/>
      <c r="S7" s="80"/>
      <c r="T7" s="80"/>
      <c r="U7" s="80"/>
      <c r="V7" s="80"/>
      <c r="W7" s="80"/>
      <c r="X7" s="80"/>
      <c r="Y7" s="5"/>
      <c r="Z7" s="5"/>
      <c r="AA7" s="5"/>
      <c r="AB7" s="5"/>
      <c r="AC7" s="5"/>
    </row>
    <row r="8" spans="1:31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5"/>
      <c r="O8" s="80"/>
      <c r="P8" s="80"/>
      <c r="Q8" s="80"/>
      <c r="R8" s="80"/>
      <c r="S8" s="80"/>
      <c r="T8" s="80"/>
      <c r="U8" s="80"/>
      <c r="V8" s="80"/>
      <c r="W8" s="80"/>
      <c r="X8" s="80"/>
      <c r="Y8" s="5"/>
      <c r="Z8" s="5"/>
      <c r="AA8" s="5"/>
      <c r="AB8" s="5"/>
      <c r="AC8" s="5"/>
    </row>
    <row r="9" spans="1:31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5"/>
      <c r="O9" s="80"/>
      <c r="P9" s="80"/>
      <c r="Q9" s="80"/>
      <c r="R9" s="80"/>
      <c r="S9" s="80"/>
      <c r="T9" s="80"/>
      <c r="U9" s="80"/>
      <c r="V9" s="80"/>
      <c r="W9" s="80"/>
      <c r="X9" s="80"/>
      <c r="Y9" s="5"/>
      <c r="Z9" s="5"/>
      <c r="AA9" s="5"/>
      <c r="AB9" s="5"/>
      <c r="AC9" s="5"/>
    </row>
    <row r="10" spans="1:31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5"/>
      <c r="Z10" s="5"/>
      <c r="AA10" s="5"/>
      <c r="AB10" s="5"/>
      <c r="AC10" s="5"/>
    </row>
    <row r="11" spans="1:31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5"/>
      <c r="Z11" s="5"/>
      <c r="AA11" s="5"/>
      <c r="AB11" s="5"/>
      <c r="AC11" s="5"/>
    </row>
    <row r="12" spans="1:31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5"/>
      <c r="Z12" s="5"/>
      <c r="AA12" s="5"/>
      <c r="AB12" s="5"/>
      <c r="AC12" s="5"/>
      <c r="AD12" s="70"/>
    </row>
    <row r="13" spans="1:31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5"/>
      <c r="O13" s="80">
        <v>1</v>
      </c>
      <c r="P13" s="80">
        <v>2</v>
      </c>
      <c r="Q13" s="80">
        <v>3</v>
      </c>
      <c r="R13" s="80">
        <v>4</v>
      </c>
      <c r="S13" s="80">
        <v>5</v>
      </c>
      <c r="T13" s="80">
        <v>6</v>
      </c>
      <c r="U13" s="80">
        <v>7</v>
      </c>
      <c r="V13" s="80">
        <v>8</v>
      </c>
      <c r="W13" s="80">
        <v>9</v>
      </c>
      <c r="X13" s="80"/>
      <c r="Y13" s="5"/>
      <c r="Z13" s="5"/>
      <c r="AA13" s="5"/>
      <c r="AB13" s="5"/>
      <c r="AC13" s="5"/>
      <c r="AD13" s="70"/>
    </row>
    <row r="14" spans="1:31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  <c r="N14" s="5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5"/>
      <c r="Z14" s="5"/>
      <c r="AA14" s="5"/>
      <c r="AB14" s="5"/>
      <c r="AC14" s="5"/>
      <c r="AD14" s="30"/>
    </row>
    <row r="15" spans="1:31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5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5"/>
      <c r="Z15" s="5"/>
      <c r="AA15" s="5"/>
      <c r="AB15" s="5"/>
      <c r="AC15" s="5"/>
      <c r="AD15" s="30"/>
    </row>
    <row r="16" spans="1:31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5"/>
      <c r="O16" s="79"/>
      <c r="P16" s="80"/>
      <c r="Q16" s="80"/>
      <c r="R16" s="80"/>
      <c r="S16" s="80"/>
      <c r="T16" s="80"/>
      <c r="U16" s="80"/>
      <c r="V16" s="80"/>
      <c r="W16" s="80"/>
      <c r="X16" s="80"/>
      <c r="Y16" s="5"/>
      <c r="Z16" s="5"/>
      <c r="AA16" s="5"/>
      <c r="AB16" s="5"/>
      <c r="AC16" s="5"/>
      <c r="AD16" s="30"/>
      <c r="AE16" s="30"/>
    </row>
    <row r="17" spans="1:32" x14ac:dyDescent="0.25">
      <c r="A17" s="103" t="s">
        <v>22</v>
      </c>
      <c r="B17" s="103"/>
      <c r="C17" s="26">
        <v>21699044.610000003</v>
      </c>
      <c r="D17" s="27">
        <v>21649499.940000001</v>
      </c>
      <c r="E17" s="27">
        <v>378248.77</v>
      </c>
      <c r="F17" s="17">
        <f t="shared" si="0"/>
        <v>43726793.320000008</v>
      </c>
      <c r="G17" s="18"/>
      <c r="H17" s="28">
        <f>'[1]113'!G3246-'[1]113'!H3246</f>
        <v>21699044.609999999</v>
      </c>
      <c r="I17" s="28">
        <f>'[1]113'!G3247-'[1]113'!H3247</f>
        <v>21649499.940000001</v>
      </c>
      <c r="J17" s="28">
        <f>'[1]113'!G3251-'[1]113'!H3248-'[1]113'!H3249-'[1]113'!H3250</f>
        <v>-8214750.1600000011</v>
      </c>
      <c r="K17" s="19">
        <f t="shared" si="1"/>
        <v>35133794.389999993</v>
      </c>
      <c r="L17" s="18"/>
      <c r="M17" s="19">
        <f t="shared" si="2"/>
        <v>8592998.9300000146</v>
      </c>
      <c r="N17" s="29" t="s">
        <v>126</v>
      </c>
      <c r="O17" s="79">
        <f>'[1]113'!H3249</f>
        <v>8505769.6400000006</v>
      </c>
      <c r="P17" s="79"/>
      <c r="Q17" s="79">
        <f>'[1]113'!H3250</f>
        <v>85336.36</v>
      </c>
      <c r="R17" s="79"/>
      <c r="S17" s="79">
        <f>'[1]113'!H3248</f>
        <v>1892.93</v>
      </c>
      <c r="T17" s="79"/>
      <c r="U17" s="79"/>
      <c r="V17" s="79"/>
      <c r="W17" s="79"/>
      <c r="X17" s="84"/>
      <c r="Y17" s="62">
        <f t="shared" ref="Y17:Y42" si="3">SUM(O17:X17)</f>
        <v>8592998.9299999997</v>
      </c>
      <c r="Z17" s="62">
        <f t="shared" ref="Z17:Z42" si="4">Y17-M17</f>
        <v>-1.4901161193847656E-8</v>
      </c>
      <c r="AA17" s="62">
        <f t="shared" ref="AA17:AA45" si="5">Y17-M17</f>
        <v>-1.4901161193847656E-8</v>
      </c>
      <c r="AB17" s="29"/>
      <c r="AC17" s="29"/>
      <c r="AD17" s="70">
        <f t="shared" ref="AD17:AD48" si="6">C17-H17</f>
        <v>0</v>
      </c>
      <c r="AE17" s="70">
        <f t="shared" ref="AE17:AE48" si="7">D17-I17</f>
        <v>0</v>
      </c>
      <c r="AF17" s="30">
        <f t="shared" ref="AF17:AF48" si="8">E17-J17</f>
        <v>8592998.9300000016</v>
      </c>
    </row>
    <row r="18" spans="1:32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79"/>
      <c r="P18" s="79"/>
      <c r="Q18" s="79"/>
      <c r="R18" s="79"/>
      <c r="S18" s="79"/>
      <c r="T18" s="79"/>
      <c r="U18" s="79"/>
      <c r="V18" s="79"/>
      <c r="W18" s="79"/>
      <c r="X18" s="80"/>
      <c r="Y18" s="62">
        <f t="shared" si="3"/>
        <v>0</v>
      </c>
      <c r="Z18" s="62">
        <f t="shared" si="4"/>
        <v>0</v>
      </c>
      <c r="AA18" s="62">
        <f t="shared" si="5"/>
        <v>0</v>
      </c>
      <c r="AB18" s="5"/>
      <c r="AC18" s="5"/>
      <c r="AD18" s="70">
        <f t="shared" si="6"/>
        <v>0</v>
      </c>
      <c r="AE18" s="70">
        <f t="shared" si="7"/>
        <v>0</v>
      </c>
      <c r="AF18" s="30">
        <f t="shared" si="8"/>
        <v>0</v>
      </c>
    </row>
    <row r="19" spans="1:32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5"/>
      <c r="O19" s="79"/>
      <c r="P19" s="79"/>
      <c r="Q19" s="79"/>
      <c r="R19" s="79"/>
      <c r="S19" s="79"/>
      <c r="T19" s="79"/>
      <c r="U19" s="79"/>
      <c r="V19" s="79"/>
      <c r="W19" s="79"/>
      <c r="X19" s="80"/>
      <c r="Y19" s="62">
        <f t="shared" si="3"/>
        <v>0</v>
      </c>
      <c r="Z19" s="62">
        <f t="shared" si="4"/>
        <v>0</v>
      </c>
      <c r="AA19" s="62">
        <f t="shared" si="5"/>
        <v>0</v>
      </c>
      <c r="AB19" s="5"/>
      <c r="AC19" s="5"/>
      <c r="AD19" s="70">
        <f t="shared" si="6"/>
        <v>0</v>
      </c>
      <c r="AE19" s="70">
        <f t="shared" si="7"/>
        <v>0</v>
      </c>
      <c r="AF19" s="30">
        <f t="shared" si="8"/>
        <v>0</v>
      </c>
    </row>
    <row r="20" spans="1:32" x14ac:dyDescent="0.25">
      <c r="A20" s="103" t="s">
        <v>26</v>
      </c>
      <c r="B20" s="103"/>
      <c r="C20" s="26">
        <v>5427032.4800000004</v>
      </c>
      <c r="D20" s="27">
        <v>5377994.9800000004</v>
      </c>
      <c r="E20" s="27">
        <v>9556086.8900000006</v>
      </c>
      <c r="F20" s="17">
        <f t="shared" si="0"/>
        <v>20361114.350000001</v>
      </c>
      <c r="G20" s="18"/>
      <c r="H20" s="28">
        <f>'[1]121'!G396</f>
        <v>5427032.4800000004</v>
      </c>
      <c r="I20" s="28">
        <f>'[1]121'!G397</f>
        <v>5377994.9800000004</v>
      </c>
      <c r="J20" s="28">
        <f>'[1]121'!G398+'[1]121'!G399</f>
        <v>9556086.8900000006</v>
      </c>
      <c r="K20" s="19">
        <f t="shared" si="1"/>
        <v>20361114.350000001</v>
      </c>
      <c r="L20" s="18"/>
      <c r="M20" s="19">
        <f t="shared" si="2"/>
        <v>0</v>
      </c>
      <c r="N20" s="5"/>
      <c r="O20" s="79"/>
      <c r="P20" s="79"/>
      <c r="Q20" s="79"/>
      <c r="R20" s="79"/>
      <c r="S20" s="79"/>
      <c r="T20" s="79"/>
      <c r="U20" s="79"/>
      <c r="V20" s="79"/>
      <c r="W20" s="79"/>
      <c r="X20" s="80"/>
      <c r="Y20" s="62">
        <f t="shared" si="3"/>
        <v>0</v>
      </c>
      <c r="Z20" s="62">
        <f t="shared" si="4"/>
        <v>0</v>
      </c>
      <c r="AA20" s="62">
        <f t="shared" si="5"/>
        <v>0</v>
      </c>
      <c r="AB20" s="5"/>
      <c r="AC20" s="5"/>
      <c r="AD20" s="70">
        <f t="shared" si="6"/>
        <v>0</v>
      </c>
      <c r="AE20" s="70">
        <f t="shared" si="7"/>
        <v>0</v>
      </c>
      <c r="AF20" s="30">
        <f t="shared" si="8"/>
        <v>0</v>
      </c>
    </row>
    <row r="21" spans="1:32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5"/>
      <c r="O21" s="79"/>
      <c r="P21" s="79"/>
      <c r="Q21" s="79"/>
      <c r="R21" s="79"/>
      <c r="S21" s="79"/>
      <c r="T21" s="79"/>
      <c r="U21" s="79"/>
      <c r="V21" s="79"/>
      <c r="W21" s="79"/>
      <c r="X21" s="80"/>
      <c r="Y21" s="62">
        <f t="shared" si="3"/>
        <v>0</v>
      </c>
      <c r="Z21" s="62">
        <f t="shared" si="4"/>
        <v>0</v>
      </c>
      <c r="AA21" s="62">
        <f t="shared" si="5"/>
        <v>0</v>
      </c>
      <c r="AB21" s="5"/>
      <c r="AC21" s="5"/>
      <c r="AD21" s="70">
        <f t="shared" si="6"/>
        <v>0</v>
      </c>
      <c r="AE21" s="70">
        <f t="shared" si="7"/>
        <v>0</v>
      </c>
      <c r="AF21" s="30">
        <f t="shared" si="8"/>
        <v>0</v>
      </c>
    </row>
    <row r="22" spans="1:32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79"/>
      <c r="P22" s="79"/>
      <c r="Q22" s="79"/>
      <c r="R22" s="79"/>
      <c r="S22" s="79"/>
      <c r="T22" s="79"/>
      <c r="U22" s="79"/>
      <c r="V22" s="79"/>
      <c r="W22" s="79"/>
      <c r="X22" s="80"/>
      <c r="Y22" s="62">
        <f t="shared" si="3"/>
        <v>0</v>
      </c>
      <c r="Z22" s="62">
        <f t="shared" si="4"/>
        <v>0</v>
      </c>
      <c r="AA22" s="62">
        <f t="shared" si="5"/>
        <v>0</v>
      </c>
      <c r="AB22" s="5"/>
      <c r="AC22" s="5"/>
      <c r="AD22" s="70">
        <f t="shared" si="6"/>
        <v>0</v>
      </c>
      <c r="AE22" s="70">
        <f t="shared" si="7"/>
        <v>0</v>
      </c>
      <c r="AF22" s="30">
        <f t="shared" si="8"/>
        <v>0</v>
      </c>
    </row>
    <row r="23" spans="1:32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5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62">
        <f t="shared" si="3"/>
        <v>0</v>
      </c>
      <c r="Z23" s="62">
        <f t="shared" si="4"/>
        <v>0</v>
      </c>
      <c r="AA23" s="62">
        <f t="shared" si="5"/>
        <v>0</v>
      </c>
      <c r="AB23" s="5"/>
      <c r="AC23" s="5"/>
      <c r="AD23" s="70">
        <f t="shared" si="6"/>
        <v>0</v>
      </c>
      <c r="AE23" s="70">
        <f t="shared" si="7"/>
        <v>0</v>
      </c>
      <c r="AF23" s="30">
        <f t="shared" si="8"/>
        <v>0</v>
      </c>
    </row>
    <row r="24" spans="1:32" x14ac:dyDescent="0.25">
      <c r="A24" s="103" t="s">
        <v>30</v>
      </c>
      <c r="B24" s="103"/>
      <c r="C24" s="26">
        <v>2867361.13</v>
      </c>
      <c r="D24" s="27">
        <v>2871012.12</v>
      </c>
      <c r="E24" s="27"/>
      <c r="F24" s="17">
        <f t="shared" si="0"/>
        <v>5738373.25</v>
      </c>
      <c r="G24" s="24"/>
      <c r="H24" s="28">
        <f>'[1]131'!G1347</f>
        <v>2867361.13</v>
      </c>
      <c r="I24" s="28">
        <f>'[1]131'!G1348</f>
        <v>2871012.12</v>
      </c>
      <c r="J24" s="28">
        <f>-'[1]131'!H1349-'[1]131'!H1350</f>
        <v>-631163.59999999986</v>
      </c>
      <c r="K24" s="19">
        <f t="shared" si="1"/>
        <v>5107209.6500000004</v>
      </c>
      <c r="L24" s="24"/>
      <c r="M24" s="19">
        <f t="shared" si="2"/>
        <v>631163.59999999963</v>
      </c>
      <c r="N24" s="29" t="s">
        <v>79</v>
      </c>
      <c r="O24" s="79">
        <f>'[1]131'!H1350</f>
        <v>617970.27999999991</v>
      </c>
      <c r="P24" s="79">
        <f>'[1]131'!H1349</f>
        <v>13193.32</v>
      </c>
      <c r="Q24" s="79"/>
      <c r="R24" s="79"/>
      <c r="S24" s="79"/>
      <c r="T24" s="79"/>
      <c r="U24" s="79"/>
      <c r="V24" s="79"/>
      <c r="W24" s="79"/>
      <c r="X24" s="84"/>
      <c r="Y24" s="62">
        <f t="shared" si="3"/>
        <v>631163.59999999986</v>
      </c>
      <c r="Z24" s="62">
        <f t="shared" si="4"/>
        <v>0</v>
      </c>
      <c r="AA24" s="62">
        <f t="shared" si="5"/>
        <v>0</v>
      </c>
      <c r="AB24" s="29"/>
      <c r="AC24" s="29"/>
      <c r="AD24" s="70">
        <f t="shared" si="6"/>
        <v>0</v>
      </c>
      <c r="AE24" s="70">
        <f t="shared" si="7"/>
        <v>0</v>
      </c>
      <c r="AF24" s="30">
        <f t="shared" si="8"/>
        <v>631163.59999999986</v>
      </c>
    </row>
    <row r="25" spans="1:32" x14ac:dyDescent="0.25">
      <c r="A25" s="103" t="s">
        <v>31</v>
      </c>
      <c r="B25" s="103"/>
      <c r="C25" s="26">
        <v>15466309.980000004</v>
      </c>
      <c r="D25" s="27">
        <v>-19284.919999999998</v>
      </c>
      <c r="E25" s="27">
        <v>89872130.870000005</v>
      </c>
      <c r="F25" s="17">
        <f t="shared" si="0"/>
        <v>105319155.93000001</v>
      </c>
      <c r="G25" s="18"/>
      <c r="H25" s="28">
        <f>'[1]132'!G1587-'[1]132'!H1587</f>
        <v>15466309.980000002</v>
      </c>
      <c r="I25" s="28">
        <f>-'[1]132'!H1588</f>
        <v>-19284.919999999998</v>
      </c>
      <c r="J25" s="28">
        <f>'[1]132'!G1593-'[1]132'!H1590-'[1]132'!H1592-'[1]132'!H1594+'[1]132'!G1589+'[1]132'!G1590+'[1]132'!G1591</f>
        <v>113973520.48</v>
      </c>
      <c r="K25" s="19">
        <f t="shared" si="1"/>
        <v>129420545.54000001</v>
      </c>
      <c r="L25" s="18"/>
      <c r="M25" s="19">
        <f t="shared" si="2"/>
        <v>-24101389.609999999</v>
      </c>
      <c r="N25" s="29" t="s">
        <v>125</v>
      </c>
      <c r="O25" s="79">
        <f>'[1]132'!H1592</f>
        <v>5310292.54</v>
      </c>
      <c r="P25" s="79"/>
      <c r="Q25" s="79">
        <f>'[1]132'!H1594</f>
        <v>311484.52</v>
      </c>
      <c r="R25" s="79">
        <f>'[1]132'!H1590</f>
        <v>54231.18</v>
      </c>
      <c r="S25" s="79">
        <f>-'[1]132'!G1593</f>
        <v>-29777397.850000001</v>
      </c>
      <c r="T25" s="79"/>
      <c r="U25" s="79"/>
      <c r="V25" s="79"/>
      <c r="W25" s="79"/>
      <c r="X25" s="84"/>
      <c r="Y25" s="62">
        <f t="shared" si="3"/>
        <v>-24101389.609999999</v>
      </c>
      <c r="Z25" s="62">
        <f t="shared" si="4"/>
        <v>0</v>
      </c>
      <c r="AA25" s="62">
        <f t="shared" si="5"/>
        <v>0</v>
      </c>
      <c r="AB25" s="29"/>
      <c r="AC25" s="29"/>
      <c r="AD25" s="70">
        <f t="shared" si="6"/>
        <v>0</v>
      </c>
      <c r="AE25" s="70">
        <f t="shared" si="7"/>
        <v>0</v>
      </c>
      <c r="AF25" s="30">
        <f t="shared" si="8"/>
        <v>-24101389.609999999</v>
      </c>
    </row>
    <row r="26" spans="1:32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29"/>
      <c r="O26" s="79"/>
      <c r="P26" s="79"/>
      <c r="Q26" s="79"/>
      <c r="R26" s="79"/>
      <c r="S26" s="79"/>
      <c r="T26" s="79"/>
      <c r="U26" s="79"/>
      <c r="V26" s="79"/>
      <c r="W26" s="79"/>
      <c r="X26" s="84"/>
      <c r="Y26" s="62">
        <f t="shared" si="3"/>
        <v>0</v>
      </c>
      <c r="Z26" s="62">
        <f t="shared" si="4"/>
        <v>0</v>
      </c>
      <c r="AA26" s="62">
        <f t="shared" si="5"/>
        <v>0</v>
      </c>
      <c r="AB26" s="29"/>
      <c r="AC26" s="29"/>
      <c r="AD26" s="70">
        <f t="shared" si="6"/>
        <v>0</v>
      </c>
      <c r="AE26" s="70">
        <f t="shared" si="7"/>
        <v>0</v>
      </c>
      <c r="AF26" s="30">
        <f t="shared" si="8"/>
        <v>0</v>
      </c>
    </row>
    <row r="27" spans="1:32" x14ac:dyDescent="0.25">
      <c r="A27" s="103" t="s">
        <v>33</v>
      </c>
      <c r="B27" s="103"/>
      <c r="C27" s="26">
        <v>846840.38000000012</v>
      </c>
      <c r="D27" s="27">
        <v>846840.38000000012</v>
      </c>
      <c r="E27" s="27"/>
      <c r="F27" s="17">
        <f t="shared" si="0"/>
        <v>1693680.7600000002</v>
      </c>
      <c r="G27" s="18"/>
      <c r="H27" s="28">
        <f>'[1]134'!G286</f>
        <v>846840.38</v>
      </c>
      <c r="I27" s="28">
        <f>'[1]134'!G287</f>
        <v>846840.38</v>
      </c>
      <c r="J27" s="28">
        <f>-'[1]134'!H288-'[1]134'!H289</f>
        <v>-1477607.3499999999</v>
      </c>
      <c r="K27" s="19">
        <f t="shared" si="1"/>
        <v>216073.41000000015</v>
      </c>
      <c r="L27" s="18"/>
      <c r="M27" s="19">
        <f t="shared" si="2"/>
        <v>1477607.35</v>
      </c>
      <c r="N27" s="29" t="s">
        <v>79</v>
      </c>
      <c r="O27" s="79">
        <f>'[1]134'!H289</f>
        <v>1465264.1099999999</v>
      </c>
      <c r="P27" s="79"/>
      <c r="Q27" s="79">
        <f>'[1]134'!H288</f>
        <v>12343.24</v>
      </c>
      <c r="R27" s="79"/>
      <c r="S27" s="79"/>
      <c r="T27" s="79"/>
      <c r="U27" s="79"/>
      <c r="V27" s="79"/>
      <c r="W27" s="79"/>
      <c r="X27" s="84"/>
      <c r="Y27" s="62">
        <f t="shared" si="3"/>
        <v>1477607.3499999999</v>
      </c>
      <c r="Z27" s="62">
        <f t="shared" si="4"/>
        <v>0</v>
      </c>
      <c r="AA27" s="62">
        <f t="shared" si="5"/>
        <v>0</v>
      </c>
      <c r="AB27" s="29"/>
      <c r="AC27" s="29"/>
      <c r="AD27" s="70">
        <f t="shared" si="6"/>
        <v>0</v>
      </c>
      <c r="AE27" s="70">
        <f t="shared" si="7"/>
        <v>0</v>
      </c>
      <c r="AF27" s="30">
        <f t="shared" si="8"/>
        <v>1477607.3499999999</v>
      </c>
    </row>
    <row r="28" spans="1:32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29"/>
      <c r="O28" s="79"/>
      <c r="P28" s="79"/>
      <c r="Q28" s="79"/>
      <c r="R28" s="79"/>
      <c r="S28" s="79"/>
      <c r="T28" s="79"/>
      <c r="U28" s="79"/>
      <c r="V28" s="79"/>
      <c r="W28" s="79"/>
      <c r="X28" s="84"/>
      <c r="Y28" s="62">
        <f t="shared" si="3"/>
        <v>0</v>
      </c>
      <c r="Z28" s="62">
        <f t="shared" si="4"/>
        <v>0</v>
      </c>
      <c r="AA28" s="62">
        <f t="shared" si="5"/>
        <v>0</v>
      </c>
      <c r="AB28" s="29"/>
      <c r="AC28" s="29"/>
      <c r="AD28" s="70">
        <f t="shared" si="6"/>
        <v>0</v>
      </c>
      <c r="AE28" s="70">
        <f t="shared" si="7"/>
        <v>0</v>
      </c>
      <c r="AF28" s="30">
        <f t="shared" si="8"/>
        <v>0</v>
      </c>
    </row>
    <row r="29" spans="1:32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29"/>
      <c r="O29" s="79"/>
      <c r="P29" s="79"/>
      <c r="Q29" s="79"/>
      <c r="R29" s="79"/>
      <c r="S29" s="79"/>
      <c r="T29" s="79"/>
      <c r="U29" s="79"/>
      <c r="V29" s="79"/>
      <c r="W29" s="79"/>
      <c r="X29" s="84"/>
      <c r="Y29" s="62">
        <f t="shared" si="3"/>
        <v>0</v>
      </c>
      <c r="Z29" s="62">
        <f t="shared" si="4"/>
        <v>0</v>
      </c>
      <c r="AA29" s="62">
        <f t="shared" si="5"/>
        <v>0</v>
      </c>
      <c r="AB29" s="29"/>
      <c r="AC29" s="29"/>
      <c r="AD29" s="70">
        <f t="shared" si="6"/>
        <v>0</v>
      </c>
      <c r="AE29" s="70">
        <f t="shared" si="7"/>
        <v>0</v>
      </c>
      <c r="AF29" s="30">
        <f t="shared" si="8"/>
        <v>0</v>
      </c>
    </row>
    <row r="30" spans="1:32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29"/>
      <c r="O30" s="79"/>
      <c r="P30" s="79"/>
      <c r="Q30" s="79"/>
      <c r="R30" s="79"/>
      <c r="S30" s="79"/>
      <c r="T30" s="79"/>
      <c r="U30" s="79"/>
      <c r="V30" s="79"/>
      <c r="W30" s="79"/>
      <c r="X30" s="84"/>
      <c r="Y30" s="62">
        <f t="shared" si="3"/>
        <v>0</v>
      </c>
      <c r="Z30" s="62">
        <f t="shared" si="4"/>
        <v>0</v>
      </c>
      <c r="AA30" s="62">
        <f t="shared" si="5"/>
        <v>0</v>
      </c>
      <c r="AB30" s="29"/>
      <c r="AC30" s="29"/>
      <c r="AD30" s="70">
        <f t="shared" si="6"/>
        <v>0</v>
      </c>
      <c r="AE30" s="70">
        <f t="shared" si="7"/>
        <v>0</v>
      </c>
      <c r="AF30" s="30">
        <f t="shared" si="8"/>
        <v>0</v>
      </c>
    </row>
    <row r="31" spans="1:32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29"/>
      <c r="O31" s="79"/>
      <c r="P31" s="79"/>
      <c r="Q31" s="79"/>
      <c r="R31" s="79"/>
      <c r="S31" s="79"/>
      <c r="T31" s="79"/>
      <c r="U31" s="79"/>
      <c r="V31" s="79"/>
      <c r="W31" s="79"/>
      <c r="X31" s="84"/>
      <c r="Y31" s="62">
        <f t="shared" si="3"/>
        <v>0</v>
      </c>
      <c r="Z31" s="62">
        <f t="shared" si="4"/>
        <v>0</v>
      </c>
      <c r="AA31" s="62">
        <f t="shared" si="5"/>
        <v>0</v>
      </c>
      <c r="AB31" s="29"/>
      <c r="AC31" s="29"/>
      <c r="AD31" s="70">
        <f t="shared" si="6"/>
        <v>0</v>
      </c>
      <c r="AE31" s="70">
        <f t="shared" si="7"/>
        <v>0</v>
      </c>
      <c r="AF31" s="30">
        <f t="shared" si="8"/>
        <v>0</v>
      </c>
    </row>
    <row r="32" spans="1:32" x14ac:dyDescent="0.25">
      <c r="A32" s="33" t="s">
        <v>38</v>
      </c>
      <c r="B32" s="34"/>
      <c r="C32" s="26">
        <v>3400836.0100000002</v>
      </c>
      <c r="D32" s="27">
        <v>3393078.58</v>
      </c>
      <c r="E32" s="27"/>
      <c r="F32" s="17">
        <f t="shared" si="0"/>
        <v>6793914.5899999999</v>
      </c>
      <c r="G32" s="18"/>
      <c r="H32" s="28">
        <f>'[1]141'!G1614</f>
        <v>3400836.0100000002</v>
      </c>
      <c r="I32" s="28">
        <f>'[1]141'!G1615</f>
        <v>3393078.58</v>
      </c>
      <c r="J32" s="28">
        <f>-'[1]141'!H1616-'[1]141'!H1617</f>
        <v>-1394878.2300000002</v>
      </c>
      <c r="K32" s="19">
        <f t="shared" si="1"/>
        <v>5399036.3599999994</v>
      </c>
      <c r="L32" s="18"/>
      <c r="M32" s="19">
        <f t="shared" si="2"/>
        <v>1394878.2300000004</v>
      </c>
      <c r="N32" s="29" t="s">
        <v>79</v>
      </c>
      <c r="O32" s="79">
        <f>'[1]141'!H1616</f>
        <v>1380084.6700000002</v>
      </c>
      <c r="P32" s="79"/>
      <c r="Q32" s="79">
        <f>'[1]141'!H1617</f>
        <v>14793.560000000001</v>
      </c>
      <c r="R32" s="79"/>
      <c r="S32" s="79"/>
      <c r="T32" s="79"/>
      <c r="U32" s="79"/>
      <c r="V32" s="79"/>
      <c r="W32" s="79"/>
      <c r="X32" s="84"/>
      <c r="Y32" s="62">
        <f t="shared" si="3"/>
        <v>1394878.2300000002</v>
      </c>
      <c r="Z32" s="62">
        <f t="shared" si="4"/>
        <v>0</v>
      </c>
      <c r="AA32" s="62">
        <f t="shared" si="5"/>
        <v>0</v>
      </c>
      <c r="AB32" s="29"/>
      <c r="AC32" s="29"/>
      <c r="AD32" s="70">
        <f t="shared" si="6"/>
        <v>0</v>
      </c>
      <c r="AE32" s="70">
        <f t="shared" si="7"/>
        <v>0</v>
      </c>
      <c r="AF32" s="30">
        <f t="shared" si="8"/>
        <v>1394878.2300000002</v>
      </c>
    </row>
    <row r="33" spans="1:32" x14ac:dyDescent="0.25">
      <c r="A33" s="33" t="s">
        <v>39</v>
      </c>
      <c r="B33" s="34"/>
      <c r="C33" s="26">
        <v>1122772.56</v>
      </c>
      <c r="D33" s="27">
        <v>1120211.53</v>
      </c>
      <c r="E33" s="27"/>
      <c r="F33" s="17">
        <f t="shared" si="0"/>
        <v>2242984.09</v>
      </c>
      <c r="G33" s="18"/>
      <c r="H33" s="28">
        <f>'[1]142'!G556</f>
        <v>1122772.56</v>
      </c>
      <c r="I33" s="28">
        <f>'[1]142'!G557</f>
        <v>1120211.53</v>
      </c>
      <c r="J33" s="28">
        <f>-'[1]142'!H558-'[1]142'!H559</f>
        <v>-561048.92999999993</v>
      </c>
      <c r="K33" s="19">
        <f t="shared" si="1"/>
        <v>1681935.16</v>
      </c>
      <c r="L33" s="18"/>
      <c r="M33" s="19">
        <f t="shared" si="2"/>
        <v>561048.92999999993</v>
      </c>
      <c r="N33" s="29" t="s">
        <v>79</v>
      </c>
      <c r="O33" s="79">
        <f>'[1]142'!H558</f>
        <v>556164.94999999995</v>
      </c>
      <c r="P33" s="79"/>
      <c r="Q33" s="79">
        <f>'[1]142'!H559</f>
        <v>4883.9799999999996</v>
      </c>
      <c r="R33" s="79"/>
      <c r="S33" s="79"/>
      <c r="T33" s="79"/>
      <c r="U33" s="79"/>
      <c r="V33" s="79"/>
      <c r="W33" s="79"/>
      <c r="X33" s="84"/>
      <c r="Y33" s="62">
        <f t="shared" si="3"/>
        <v>561048.92999999993</v>
      </c>
      <c r="Z33" s="62">
        <f t="shared" si="4"/>
        <v>0</v>
      </c>
      <c r="AA33" s="62">
        <f t="shared" si="5"/>
        <v>0</v>
      </c>
      <c r="AB33" s="29"/>
      <c r="AC33" s="29"/>
      <c r="AD33" s="70">
        <f t="shared" si="6"/>
        <v>0</v>
      </c>
      <c r="AE33" s="70">
        <f t="shared" si="7"/>
        <v>0</v>
      </c>
      <c r="AF33" s="30">
        <f t="shared" si="8"/>
        <v>561048.92999999993</v>
      </c>
    </row>
    <row r="34" spans="1:32" x14ac:dyDescent="0.25">
      <c r="A34" s="35" t="s">
        <v>40</v>
      </c>
      <c r="B34" s="36"/>
      <c r="C34" s="26">
        <v>241305.11</v>
      </c>
      <c r="D34" s="27">
        <v>241305.11</v>
      </c>
      <c r="E34" s="27"/>
      <c r="F34" s="17">
        <f t="shared" si="0"/>
        <v>482610.22</v>
      </c>
      <c r="G34" s="18"/>
      <c r="H34" s="28">
        <f>'[1]143'!G395</f>
        <v>241305.11</v>
      </c>
      <c r="I34" s="28">
        <f>'[1]143'!G396</f>
        <v>241305.11</v>
      </c>
      <c r="J34" s="28">
        <f>-'[1]143'!H397-'[1]143'!H398</f>
        <v>-59867.639999999992</v>
      </c>
      <c r="K34" s="19">
        <f t="shared" si="1"/>
        <v>422742.57999999996</v>
      </c>
      <c r="L34" s="18"/>
      <c r="M34" s="19">
        <f t="shared" si="2"/>
        <v>59867.640000000014</v>
      </c>
      <c r="N34" s="29" t="s">
        <v>79</v>
      </c>
      <c r="O34" s="79">
        <f>'[1]143'!H397</f>
        <v>55520.759999999995</v>
      </c>
      <c r="P34" s="79"/>
      <c r="Q34" s="79">
        <f>'[1]143'!H398</f>
        <v>4346.88</v>
      </c>
      <c r="R34" s="79"/>
      <c r="S34" s="79"/>
      <c r="T34" s="79"/>
      <c r="U34" s="79"/>
      <c r="V34" s="79"/>
      <c r="W34" s="79"/>
      <c r="X34" s="84"/>
      <c r="Y34" s="62">
        <f t="shared" si="3"/>
        <v>59867.639999999992</v>
      </c>
      <c r="Z34" s="62">
        <f t="shared" si="4"/>
        <v>0</v>
      </c>
      <c r="AA34" s="62">
        <f t="shared" si="5"/>
        <v>0</v>
      </c>
      <c r="AB34" s="29"/>
      <c r="AC34" s="29"/>
      <c r="AD34" s="70">
        <f t="shared" si="6"/>
        <v>0</v>
      </c>
      <c r="AE34" s="70">
        <f t="shared" si="7"/>
        <v>0</v>
      </c>
      <c r="AF34" s="30">
        <f t="shared" si="8"/>
        <v>59867.639999999992</v>
      </c>
    </row>
    <row r="35" spans="1:32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29"/>
      <c r="O35" s="79"/>
      <c r="P35" s="79"/>
      <c r="Q35" s="79"/>
      <c r="R35" s="79"/>
      <c r="S35" s="79"/>
      <c r="T35" s="79"/>
      <c r="U35" s="79"/>
      <c r="V35" s="79"/>
      <c r="W35" s="79"/>
      <c r="X35" s="84"/>
      <c r="Y35" s="62">
        <f t="shared" si="3"/>
        <v>0</v>
      </c>
      <c r="Z35" s="62">
        <f t="shared" si="4"/>
        <v>0</v>
      </c>
      <c r="AA35" s="62">
        <f t="shared" si="5"/>
        <v>0</v>
      </c>
      <c r="AB35" s="29"/>
      <c r="AC35" s="29"/>
      <c r="AD35" s="70">
        <f t="shared" si="6"/>
        <v>0</v>
      </c>
      <c r="AE35" s="70">
        <f t="shared" si="7"/>
        <v>0</v>
      </c>
      <c r="AF35" s="30">
        <f t="shared" si="8"/>
        <v>0</v>
      </c>
    </row>
    <row r="36" spans="1:32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29"/>
      <c r="O36" s="79"/>
      <c r="P36" s="79"/>
      <c r="Q36" s="79"/>
      <c r="R36" s="79"/>
      <c r="S36" s="79"/>
      <c r="T36" s="79"/>
      <c r="U36" s="79"/>
      <c r="V36" s="79"/>
      <c r="W36" s="79"/>
      <c r="X36" s="84"/>
      <c r="Y36" s="62">
        <f t="shared" si="3"/>
        <v>0</v>
      </c>
      <c r="Z36" s="62">
        <f t="shared" si="4"/>
        <v>0</v>
      </c>
      <c r="AA36" s="62">
        <f t="shared" si="5"/>
        <v>0</v>
      </c>
      <c r="AB36" s="29"/>
      <c r="AC36" s="29"/>
      <c r="AD36" s="70">
        <f t="shared" si="6"/>
        <v>0</v>
      </c>
      <c r="AE36" s="70">
        <f t="shared" si="7"/>
        <v>0</v>
      </c>
      <c r="AF36" s="30">
        <f t="shared" si="8"/>
        <v>0</v>
      </c>
    </row>
    <row r="37" spans="1:32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29"/>
      <c r="O37" s="79"/>
      <c r="P37" s="79"/>
      <c r="Q37" s="79"/>
      <c r="R37" s="79"/>
      <c r="S37" s="79"/>
      <c r="T37" s="79"/>
      <c r="U37" s="79"/>
      <c r="V37" s="79"/>
      <c r="W37" s="79"/>
      <c r="X37" s="84"/>
      <c r="Y37" s="62">
        <f t="shared" si="3"/>
        <v>0</v>
      </c>
      <c r="Z37" s="62">
        <f t="shared" si="4"/>
        <v>0</v>
      </c>
      <c r="AA37" s="62">
        <f t="shared" si="5"/>
        <v>0</v>
      </c>
      <c r="AB37" s="29"/>
      <c r="AC37" s="29"/>
      <c r="AD37" s="70">
        <f t="shared" si="6"/>
        <v>0</v>
      </c>
      <c r="AE37" s="70">
        <f t="shared" si="7"/>
        <v>0</v>
      </c>
      <c r="AF37" s="30">
        <f t="shared" si="8"/>
        <v>0</v>
      </c>
    </row>
    <row r="38" spans="1:32" x14ac:dyDescent="0.25">
      <c r="A38" s="103" t="s">
        <v>45</v>
      </c>
      <c r="B38" s="103"/>
      <c r="C38" s="26"/>
      <c r="D38" s="27"/>
      <c r="E38" s="27">
        <v>1341147.56</v>
      </c>
      <c r="F38" s="17">
        <f t="shared" si="0"/>
        <v>1341147.56</v>
      </c>
      <c r="G38" s="18"/>
      <c r="H38" s="28"/>
      <c r="I38" s="28"/>
      <c r="J38" s="28">
        <f>'[1]152'!G54+'[1]152'!G55+'[1]152'!G56+'[1]152'!G57</f>
        <v>1718572.7399999998</v>
      </c>
      <c r="K38" s="19">
        <f t="shared" si="1"/>
        <v>1718572.7399999998</v>
      </c>
      <c r="L38" s="18"/>
      <c r="M38" s="19">
        <f t="shared" si="2"/>
        <v>-377425.1799999997</v>
      </c>
      <c r="N38" s="29" t="s">
        <v>124</v>
      </c>
      <c r="O38" s="79"/>
      <c r="P38" s="79">
        <f>-'[1]152'!G54</f>
        <v>-866351.12999999989</v>
      </c>
      <c r="Q38" s="79"/>
      <c r="R38" s="79"/>
      <c r="S38" s="79"/>
      <c r="T38" s="79">
        <f>-'[1]152'!G57</f>
        <v>-533130.34</v>
      </c>
      <c r="U38" s="79">
        <f>-'[1]152'!G56</f>
        <v>6895.6</v>
      </c>
      <c r="V38" s="79"/>
      <c r="W38" s="79">
        <f>'[1]152'!H62</f>
        <v>1015160.6900000001</v>
      </c>
      <c r="X38" s="84"/>
      <c r="Y38" s="62">
        <f t="shared" si="3"/>
        <v>-377425.17999999959</v>
      </c>
      <c r="Z38" s="62">
        <f t="shared" si="4"/>
        <v>0</v>
      </c>
      <c r="AA38" s="62">
        <f t="shared" si="5"/>
        <v>0</v>
      </c>
      <c r="AB38" s="29"/>
      <c r="AC38" s="29"/>
      <c r="AD38" s="70">
        <f t="shared" si="6"/>
        <v>0</v>
      </c>
      <c r="AE38" s="70">
        <f t="shared" si="7"/>
        <v>0</v>
      </c>
      <c r="AF38" s="30">
        <f t="shared" si="8"/>
        <v>-377425.1799999997</v>
      </c>
    </row>
    <row r="39" spans="1:32" x14ac:dyDescent="0.25">
      <c r="A39" s="103" t="s">
        <v>47</v>
      </c>
      <c r="B39" s="103"/>
      <c r="C39" s="26"/>
      <c r="D39" s="27"/>
      <c r="E39" s="27">
        <v>242017</v>
      </c>
      <c r="F39" s="17">
        <f t="shared" si="0"/>
        <v>242017</v>
      </c>
      <c r="G39" s="18"/>
      <c r="H39" s="28"/>
      <c r="I39" s="28"/>
      <c r="J39" s="28">
        <f>'[1]153'!G33-'[1]153'!H34</f>
        <v>111733</v>
      </c>
      <c r="K39" s="19">
        <f t="shared" si="1"/>
        <v>111733</v>
      </c>
      <c r="L39" s="18"/>
      <c r="M39" s="19">
        <f t="shared" si="2"/>
        <v>130284</v>
      </c>
      <c r="N39" s="29" t="s">
        <v>23</v>
      </c>
      <c r="O39" s="79">
        <f>'[1]153'!H34</f>
        <v>130284</v>
      </c>
      <c r="P39" s="79"/>
      <c r="Q39" s="79"/>
      <c r="R39" s="79"/>
      <c r="S39" s="79"/>
      <c r="T39" s="79"/>
      <c r="U39" s="79"/>
      <c r="V39" s="79"/>
      <c r="W39" s="79"/>
      <c r="X39" s="84"/>
      <c r="Y39" s="62">
        <f t="shared" si="3"/>
        <v>130284</v>
      </c>
      <c r="Z39" s="62">
        <f t="shared" si="4"/>
        <v>0</v>
      </c>
      <c r="AA39" s="62">
        <f t="shared" si="5"/>
        <v>0</v>
      </c>
      <c r="AB39" s="29"/>
      <c r="AC39" s="29"/>
      <c r="AD39" s="70">
        <f t="shared" si="6"/>
        <v>0</v>
      </c>
      <c r="AE39" s="70">
        <f t="shared" si="7"/>
        <v>0</v>
      </c>
      <c r="AF39" s="30">
        <f t="shared" si="8"/>
        <v>130284</v>
      </c>
    </row>
    <row r="40" spans="1:32" x14ac:dyDescent="0.25">
      <c r="A40" s="103" t="s">
        <v>48</v>
      </c>
      <c r="B40" s="103"/>
      <c r="C40" s="26">
        <v>35327196.740000002</v>
      </c>
      <c r="D40" s="27">
        <v>36010537.339899994</v>
      </c>
      <c r="E40" s="27">
        <v>64556858.390000001</v>
      </c>
      <c r="F40" s="17">
        <f t="shared" si="0"/>
        <v>135894592.46990001</v>
      </c>
      <c r="G40" s="18"/>
      <c r="H40" s="28">
        <f>'[1]154'!G2505-'[1]154'!H2505</f>
        <v>35327196.740000002</v>
      </c>
      <c r="I40" s="28">
        <f>'[1]154'!G2506-'[1]154'!H2506</f>
        <v>36010537.329999991</v>
      </c>
      <c r="J40" s="28">
        <f>'[1]154'!G2507+'[1]154'!G2508+'[1]154'!G2509+'[1]154'!G2510+'[1]154'!G2512+'[1]154'!G2513-'[1]154'!H2511-'[1]154'!H2512</f>
        <v>41841143.270000003</v>
      </c>
      <c r="K40" s="19">
        <f t="shared" si="1"/>
        <v>113178877.34</v>
      </c>
      <c r="L40" s="18"/>
      <c r="M40" s="19">
        <f t="shared" si="2"/>
        <v>22715715.129900008</v>
      </c>
      <c r="N40" s="29" t="s">
        <v>123</v>
      </c>
      <c r="O40" s="79">
        <f>'[1]154'!H2511</f>
        <v>22504165.289999999</v>
      </c>
      <c r="P40" s="79"/>
      <c r="Q40" s="79">
        <f>'[1]154'!H2512</f>
        <v>406773.83</v>
      </c>
      <c r="R40" s="79"/>
      <c r="S40" s="79"/>
      <c r="T40" s="79"/>
      <c r="U40" s="79"/>
      <c r="V40" s="79">
        <f>-'[1]154'!G2512</f>
        <v>-195224</v>
      </c>
      <c r="W40" s="79"/>
      <c r="X40" s="84"/>
      <c r="Y40" s="62">
        <f t="shared" si="3"/>
        <v>22715715.119999997</v>
      </c>
      <c r="Z40" s="62">
        <f t="shared" si="4"/>
        <v>-9.9000111222267151E-3</v>
      </c>
      <c r="AA40" s="62">
        <f t="shared" si="5"/>
        <v>-9.9000111222267151E-3</v>
      </c>
      <c r="AB40" s="29"/>
      <c r="AC40" s="29"/>
      <c r="AD40" s="70">
        <f t="shared" si="6"/>
        <v>0</v>
      </c>
      <c r="AE40" s="70">
        <f t="shared" si="7"/>
        <v>9.9000036716461182E-3</v>
      </c>
      <c r="AF40" s="30">
        <f t="shared" si="8"/>
        <v>22715715.119999997</v>
      </c>
    </row>
    <row r="41" spans="1:32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29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62">
        <f t="shared" si="3"/>
        <v>0</v>
      </c>
      <c r="Z41" s="62">
        <f t="shared" si="4"/>
        <v>0</v>
      </c>
      <c r="AA41" s="62">
        <f t="shared" si="5"/>
        <v>0</v>
      </c>
      <c r="AB41" s="29"/>
      <c r="AC41" s="29"/>
      <c r="AD41" s="70">
        <f t="shared" si="6"/>
        <v>0</v>
      </c>
      <c r="AE41" s="70">
        <f t="shared" si="7"/>
        <v>0</v>
      </c>
      <c r="AF41" s="30">
        <f t="shared" si="8"/>
        <v>0</v>
      </c>
    </row>
    <row r="42" spans="1:32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29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62">
        <f t="shared" si="3"/>
        <v>0</v>
      </c>
      <c r="Z42" s="62">
        <f t="shared" si="4"/>
        <v>0</v>
      </c>
      <c r="AA42" s="62">
        <f t="shared" si="5"/>
        <v>0</v>
      </c>
      <c r="AB42" s="29"/>
      <c r="AC42" s="29"/>
      <c r="AD42" s="70">
        <f t="shared" si="6"/>
        <v>0</v>
      </c>
      <c r="AE42" s="70">
        <f t="shared" si="7"/>
        <v>0</v>
      </c>
      <c r="AF42" s="30">
        <f t="shared" si="8"/>
        <v>0</v>
      </c>
    </row>
    <row r="43" spans="1:32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2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29"/>
      <c r="Z43" s="29"/>
      <c r="AA43" s="62">
        <f t="shared" si="5"/>
        <v>0</v>
      </c>
      <c r="AB43" s="29"/>
      <c r="AC43" s="29"/>
      <c r="AD43" s="70">
        <f t="shared" si="6"/>
        <v>0</v>
      </c>
      <c r="AE43" s="70">
        <f t="shared" si="7"/>
        <v>0</v>
      </c>
      <c r="AF43" s="30">
        <f t="shared" si="8"/>
        <v>0</v>
      </c>
    </row>
    <row r="44" spans="1:32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29"/>
      <c r="O44" s="85"/>
      <c r="P44" s="85"/>
      <c r="Q44" s="85"/>
      <c r="R44" s="85"/>
      <c r="S44" s="85"/>
      <c r="T44" s="85"/>
      <c r="U44" s="85"/>
      <c r="V44" s="85"/>
      <c r="W44" s="85"/>
      <c r="X44" s="84"/>
      <c r="Y44" s="29"/>
      <c r="Z44" s="29"/>
      <c r="AA44" s="62">
        <f t="shared" si="5"/>
        <v>0</v>
      </c>
      <c r="AB44" s="29"/>
      <c r="AC44" s="29"/>
      <c r="AD44" s="70">
        <f t="shared" si="6"/>
        <v>0</v>
      </c>
      <c r="AE44" s="70">
        <f t="shared" si="7"/>
        <v>0</v>
      </c>
      <c r="AF44" s="30">
        <f t="shared" si="8"/>
        <v>0</v>
      </c>
    </row>
    <row r="45" spans="1:32" x14ac:dyDescent="0.25">
      <c r="A45" s="102" t="s">
        <v>53</v>
      </c>
      <c r="B45" s="102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29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62">
        <f>SUM(Y17:Y44)</f>
        <v>11084749.009999998</v>
      </c>
      <c r="Z45" s="29"/>
      <c r="AA45" s="62">
        <f t="shared" si="5"/>
        <v>11084749.009999998</v>
      </c>
      <c r="AB45" s="29"/>
      <c r="AC45" s="29"/>
      <c r="AD45" s="70">
        <f t="shared" si="6"/>
        <v>0</v>
      </c>
      <c r="AE45" s="70">
        <f t="shared" si="7"/>
        <v>0</v>
      </c>
      <c r="AF45" s="30">
        <f t="shared" si="8"/>
        <v>0</v>
      </c>
    </row>
    <row r="46" spans="1:32" x14ac:dyDescent="0.25">
      <c r="A46" s="103" t="s">
        <v>54</v>
      </c>
      <c r="B46" s="103"/>
      <c r="C46" s="26"/>
      <c r="D46" s="27"/>
      <c r="E46" s="27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29"/>
      <c r="O46" s="79">
        <f t="shared" ref="O46:W46" si="9">SUM(O16:O42)</f>
        <v>40525516.240000002</v>
      </c>
      <c r="P46" s="79">
        <f t="shared" si="9"/>
        <v>-853157.80999999994</v>
      </c>
      <c r="Q46" s="79">
        <f t="shared" si="9"/>
        <v>839962.37</v>
      </c>
      <c r="R46" s="79">
        <f t="shared" si="9"/>
        <v>54231.18</v>
      </c>
      <c r="S46" s="79">
        <f t="shared" si="9"/>
        <v>-29775504.920000002</v>
      </c>
      <c r="T46" s="79">
        <f t="shared" si="9"/>
        <v>-533130.34</v>
      </c>
      <c r="U46" s="79">
        <f t="shared" si="9"/>
        <v>6895.6</v>
      </c>
      <c r="V46" s="79">
        <f t="shared" si="9"/>
        <v>-195224</v>
      </c>
      <c r="W46" s="79">
        <f t="shared" si="9"/>
        <v>1015160.6900000001</v>
      </c>
      <c r="X46" s="84"/>
      <c r="Y46" s="29"/>
      <c r="Z46" s="29"/>
      <c r="AA46" s="29"/>
      <c r="AB46" s="29"/>
      <c r="AC46" s="29"/>
      <c r="AD46" s="70">
        <f t="shared" si="6"/>
        <v>0</v>
      </c>
      <c r="AE46" s="70">
        <f t="shared" si="7"/>
        <v>0</v>
      </c>
      <c r="AF46" s="30">
        <f t="shared" si="8"/>
        <v>0</v>
      </c>
    </row>
    <row r="47" spans="1:32" x14ac:dyDescent="0.25">
      <c r="A47" s="103" t="s">
        <v>55</v>
      </c>
      <c r="B47" s="103"/>
      <c r="C47" s="26"/>
      <c r="D47" s="27"/>
      <c r="E47" s="27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29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29"/>
      <c r="Z47" s="29"/>
      <c r="AA47" s="29"/>
      <c r="AB47" s="29"/>
      <c r="AC47" s="29"/>
      <c r="AD47" s="70">
        <f t="shared" si="6"/>
        <v>0</v>
      </c>
      <c r="AE47" s="70">
        <f t="shared" si="7"/>
        <v>0</v>
      </c>
      <c r="AF47" s="30">
        <f t="shared" si="8"/>
        <v>0</v>
      </c>
    </row>
    <row r="48" spans="1:32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  <c r="N48" s="29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29"/>
      <c r="Z48" s="29"/>
      <c r="AA48" s="29"/>
      <c r="AB48" s="29"/>
      <c r="AC48" s="29"/>
      <c r="AD48" s="70">
        <f t="shared" si="6"/>
        <v>0</v>
      </c>
      <c r="AE48" s="70">
        <f t="shared" si="7"/>
        <v>0</v>
      </c>
      <c r="AF48" s="30">
        <f t="shared" si="8"/>
        <v>0</v>
      </c>
    </row>
    <row r="49" spans="1:29" x14ac:dyDescent="0.25">
      <c r="A49" s="106" t="s">
        <v>56</v>
      </c>
      <c r="B49" s="106"/>
      <c r="C49" s="39">
        <f>SUM(C14:C48)</f>
        <v>86398699</v>
      </c>
      <c r="D49" s="40">
        <f>SUM(D14:D48)</f>
        <v>71491195.059899986</v>
      </c>
      <c r="E49" s="40">
        <f>SUM(E14:E48)</f>
        <v>165946489.48000002</v>
      </c>
      <c r="F49" s="40">
        <f>SUM(F14:F48)</f>
        <v>323836383.53990006</v>
      </c>
      <c r="G49" s="18"/>
      <c r="H49" s="40">
        <f>SUM(H14:H48)</f>
        <v>86398699</v>
      </c>
      <c r="I49" s="40">
        <f>SUM(I14:I48)</f>
        <v>71491195.049999982</v>
      </c>
      <c r="J49" s="40">
        <f>SUM(J14:J48)</f>
        <v>154861740.47</v>
      </c>
      <c r="K49" s="40">
        <f>SUM(K14:K48)</f>
        <v>312751634.51999998</v>
      </c>
      <c r="L49" s="18"/>
      <c r="M49" s="57">
        <f t="shared" si="2"/>
        <v>11084749.019900084</v>
      </c>
      <c r="N49" s="62">
        <f>M49-C53-C54-C55-C56-C57-C58-C59-C60-C61</f>
        <v>7.7416189014911652E-8</v>
      </c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5"/>
      <c r="Z49" s="5"/>
      <c r="AA49" s="5"/>
      <c r="AB49" s="5"/>
      <c r="AC49" s="5"/>
    </row>
    <row r="50" spans="1:29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5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5"/>
      <c r="Z50" s="5"/>
      <c r="AA50" s="5"/>
      <c r="AB50" s="5"/>
      <c r="AC50" s="5"/>
    </row>
    <row r="51" spans="1:29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18"/>
      <c r="L51" s="14"/>
      <c r="M51" s="14"/>
      <c r="N51" s="5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5"/>
      <c r="Z51" s="5"/>
      <c r="AA51" s="5"/>
      <c r="AB51" s="5"/>
      <c r="AC51" s="5"/>
    </row>
    <row r="52" spans="1:29" ht="15.75" customHeight="1" x14ac:dyDescent="0.25">
      <c r="A52" s="15" t="s">
        <v>57</v>
      </c>
      <c r="B52" s="83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5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5"/>
      <c r="Z52" s="5"/>
      <c r="AA52" s="5"/>
      <c r="AB52" s="5"/>
      <c r="AC52" s="5"/>
    </row>
    <row r="53" spans="1:29" ht="15.75" customHeight="1" x14ac:dyDescent="0.25">
      <c r="A53" s="103" t="s">
        <v>83</v>
      </c>
      <c r="B53" s="103"/>
      <c r="C53" s="82">
        <f>O46</f>
        <v>40525516.240000002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5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5"/>
      <c r="Z53" s="5"/>
      <c r="AA53" s="5"/>
      <c r="AB53" s="5"/>
      <c r="AC53" s="5"/>
    </row>
    <row r="54" spans="1:29" ht="15.75" customHeight="1" x14ac:dyDescent="0.25">
      <c r="A54" s="103" t="s">
        <v>78</v>
      </c>
      <c r="B54" s="103"/>
      <c r="C54" s="82">
        <f>P46</f>
        <v>-853157.80999999994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5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5"/>
      <c r="Z54" s="5"/>
      <c r="AA54" s="5"/>
      <c r="AB54" s="5"/>
      <c r="AC54" s="5"/>
    </row>
    <row r="55" spans="1:29" ht="15.75" customHeight="1" x14ac:dyDescent="0.25">
      <c r="A55" s="103" t="s">
        <v>122</v>
      </c>
      <c r="B55" s="103"/>
      <c r="C55" s="82">
        <f>Q46</f>
        <v>839962.37</v>
      </c>
      <c r="D55" s="14"/>
      <c r="E55" s="14"/>
      <c r="F55" s="14"/>
      <c r="G55" s="14"/>
      <c r="H55" s="14"/>
      <c r="I55" s="14"/>
      <c r="J55" s="14"/>
      <c r="K55" s="14"/>
      <c r="L55" s="14"/>
      <c r="M55" s="18"/>
      <c r="N55" s="5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5"/>
      <c r="Z55" s="5"/>
      <c r="AA55" s="5"/>
      <c r="AB55" s="5"/>
      <c r="AC55" s="5"/>
    </row>
    <row r="56" spans="1:29" ht="15.75" customHeight="1" x14ac:dyDescent="0.25">
      <c r="A56" s="103" t="s">
        <v>121</v>
      </c>
      <c r="B56" s="103"/>
      <c r="C56" s="82">
        <f>R46</f>
        <v>54231.18</v>
      </c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5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5"/>
      <c r="Z56" s="5"/>
      <c r="AA56" s="5"/>
      <c r="AB56" s="5"/>
      <c r="AC56" s="5"/>
    </row>
    <row r="57" spans="1:29" ht="15.75" customHeight="1" x14ac:dyDescent="0.25">
      <c r="A57" s="103" t="s">
        <v>120</v>
      </c>
      <c r="B57" s="103"/>
      <c r="C57" s="82">
        <f>S46</f>
        <v>-29775504.920000002</v>
      </c>
      <c r="D57" s="14"/>
      <c r="E57" s="14"/>
      <c r="F57" s="14"/>
      <c r="G57" s="14"/>
      <c r="H57" s="14"/>
      <c r="I57" s="14"/>
      <c r="J57" s="14"/>
      <c r="K57" s="14"/>
      <c r="L57" s="14"/>
      <c r="M57" s="18"/>
      <c r="N57" s="5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5"/>
      <c r="Z57" s="5"/>
      <c r="AA57" s="5"/>
      <c r="AB57" s="5"/>
      <c r="AC57" s="5"/>
    </row>
    <row r="58" spans="1:29" ht="15.75" customHeight="1" x14ac:dyDescent="0.25">
      <c r="A58" s="103" t="s">
        <v>119</v>
      </c>
      <c r="B58" s="103"/>
      <c r="C58" s="82">
        <f>T46</f>
        <v>-533130.34</v>
      </c>
      <c r="D58" s="14"/>
      <c r="E58" s="14"/>
      <c r="F58" s="14"/>
      <c r="G58" s="14"/>
      <c r="H58" s="14"/>
      <c r="I58" s="14"/>
      <c r="J58" s="14"/>
      <c r="K58" s="14"/>
      <c r="L58" s="14"/>
      <c r="M58" s="18"/>
      <c r="N58" s="5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5"/>
      <c r="Z58" s="5"/>
      <c r="AA58" s="5"/>
      <c r="AB58" s="5"/>
      <c r="AC58" s="5"/>
    </row>
    <row r="59" spans="1:29" ht="15.75" customHeight="1" x14ac:dyDescent="0.25">
      <c r="A59" s="103" t="s">
        <v>118</v>
      </c>
      <c r="B59" s="103"/>
      <c r="C59" s="82">
        <f>U46</f>
        <v>6895.6</v>
      </c>
      <c r="D59" s="14"/>
      <c r="E59" s="14"/>
      <c r="F59" s="14"/>
      <c r="G59" s="14"/>
      <c r="H59" s="14"/>
      <c r="I59" s="14"/>
      <c r="J59" s="14"/>
      <c r="K59" s="14"/>
      <c r="L59" s="14"/>
      <c r="M59" s="18"/>
      <c r="N59" s="5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5"/>
      <c r="Z59" s="5"/>
      <c r="AA59" s="5"/>
      <c r="AB59" s="5"/>
      <c r="AC59" s="5"/>
    </row>
    <row r="60" spans="1:29" ht="15.75" customHeight="1" x14ac:dyDescent="0.25">
      <c r="A60" s="103" t="s">
        <v>117</v>
      </c>
      <c r="B60" s="103"/>
      <c r="C60" s="82">
        <f>V46</f>
        <v>-195224</v>
      </c>
      <c r="D60" s="14"/>
      <c r="E60" s="14"/>
      <c r="F60" s="14"/>
      <c r="G60" s="14"/>
      <c r="H60" s="14"/>
      <c r="I60" s="14"/>
      <c r="J60" s="14"/>
      <c r="K60" s="14"/>
      <c r="L60" s="14"/>
      <c r="M60" s="18"/>
      <c r="N60" s="5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5"/>
      <c r="Z60" s="5"/>
      <c r="AA60" s="5"/>
      <c r="AB60" s="5"/>
      <c r="AC60" s="5"/>
    </row>
    <row r="61" spans="1:29" ht="15.75" customHeight="1" x14ac:dyDescent="0.25">
      <c r="A61" s="102" t="s">
        <v>116</v>
      </c>
      <c r="B61" s="103"/>
      <c r="C61" s="82">
        <f>W46+'[1]154'!K2506</f>
        <v>1015160.6999000037</v>
      </c>
      <c r="D61" s="81"/>
      <c r="E61" s="14"/>
      <c r="F61" s="14"/>
      <c r="G61" s="14"/>
      <c r="H61" s="14"/>
      <c r="I61" s="14"/>
      <c r="J61" s="14"/>
      <c r="K61" s="14"/>
      <c r="L61" s="14"/>
      <c r="M61" s="18"/>
      <c r="N61" s="5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5"/>
      <c r="Z61" s="5"/>
      <c r="AA61" s="5"/>
      <c r="AB61" s="5"/>
      <c r="AC61" s="5"/>
    </row>
    <row r="62" spans="1:29" ht="15.75" customHeight="1" x14ac:dyDescent="0.25">
      <c r="A62" s="50"/>
      <c r="B62" s="50"/>
      <c r="C62" s="43"/>
      <c r="D62" s="14"/>
      <c r="E62" s="14"/>
      <c r="F62" s="14"/>
      <c r="G62" s="14"/>
      <c r="H62" s="14"/>
      <c r="I62" s="14"/>
      <c r="J62" s="14"/>
      <c r="K62" s="14"/>
      <c r="L62" s="14"/>
      <c r="M62" s="18"/>
      <c r="N62" s="5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5"/>
      <c r="Z62" s="5"/>
      <c r="AA62" s="5"/>
      <c r="AB62" s="5"/>
      <c r="AC62" s="5"/>
    </row>
    <row r="63" spans="1:29" x14ac:dyDescent="0.25">
      <c r="B63" s="3"/>
      <c r="C63" s="4"/>
      <c r="D63" s="107"/>
      <c r="E63" s="107"/>
      <c r="F63" s="51"/>
      <c r="G63" s="3"/>
      <c r="H63" s="107"/>
      <c r="I63" s="107"/>
      <c r="J63" s="107"/>
      <c r="K63" s="3"/>
      <c r="L63" s="3"/>
      <c r="M63" s="32"/>
      <c r="N63" s="62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62"/>
      <c r="Z63" s="62"/>
      <c r="AA63" s="62"/>
      <c r="AB63" s="62"/>
      <c r="AC63" s="62"/>
    </row>
    <row r="64" spans="1:29" ht="15.75" thickBot="1" x14ac:dyDescent="0.3">
      <c r="B64" s="3"/>
      <c r="C64" s="4"/>
      <c r="D64" s="107"/>
      <c r="E64" s="107"/>
      <c r="F64" s="52"/>
      <c r="G64" s="3"/>
      <c r="H64" s="111"/>
      <c r="I64" s="111"/>
      <c r="J64" s="25"/>
      <c r="K64" s="112"/>
      <c r="L64" s="112"/>
      <c r="M64" s="112"/>
      <c r="N64" s="62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62"/>
      <c r="Z64" s="62"/>
      <c r="AA64" s="62"/>
      <c r="AB64" s="62"/>
      <c r="AC64" s="62"/>
    </row>
    <row r="65" spans="1:29" x14ac:dyDescent="0.25">
      <c r="A65" s="53" t="s">
        <v>62</v>
      </c>
      <c r="B65" s="3"/>
      <c r="C65" s="113" t="s">
        <v>63</v>
      </c>
      <c r="D65" s="113"/>
      <c r="E65" s="52"/>
      <c r="F65" s="52"/>
      <c r="G65" s="3"/>
      <c r="H65" s="113" t="s">
        <v>62</v>
      </c>
      <c r="I65" s="113"/>
      <c r="J65" s="54"/>
      <c r="K65" s="113" t="s">
        <v>63</v>
      </c>
      <c r="L65" s="113"/>
      <c r="M65" s="113"/>
      <c r="N65" s="62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62"/>
      <c r="Z65" s="62"/>
      <c r="AA65" s="62"/>
      <c r="AB65" s="62"/>
      <c r="AC65" s="62"/>
    </row>
    <row r="66" spans="1:29" x14ac:dyDescent="0.25">
      <c r="A66" s="55" t="s">
        <v>64</v>
      </c>
      <c r="B66" s="3"/>
      <c r="C66" s="108" t="s">
        <v>65</v>
      </c>
      <c r="D66" s="108"/>
      <c r="E66" s="4"/>
      <c r="F66" s="4"/>
      <c r="G66" s="3"/>
      <c r="H66" s="109" t="s">
        <v>66</v>
      </c>
      <c r="I66" s="109"/>
      <c r="J66" s="4"/>
      <c r="K66" s="109" t="s">
        <v>67</v>
      </c>
      <c r="L66" s="109"/>
      <c r="M66" s="109"/>
      <c r="N66" s="62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62"/>
      <c r="Z66" s="62"/>
      <c r="AA66" s="62"/>
      <c r="AB66" s="62"/>
      <c r="AC66" s="62"/>
    </row>
    <row r="67" spans="1:29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62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62"/>
      <c r="Z67" s="62"/>
      <c r="AA67" s="62"/>
      <c r="AB67" s="62"/>
      <c r="AC67" s="62"/>
    </row>
    <row r="68" spans="1:29" x14ac:dyDescent="0.25"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62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62"/>
      <c r="Z68" s="62"/>
      <c r="AA68" s="62"/>
      <c r="AB68" s="62"/>
      <c r="AC68" s="62"/>
    </row>
    <row r="69" spans="1:29" x14ac:dyDescent="0.25"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  <c r="N69" s="62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62"/>
      <c r="Z69" s="62"/>
      <c r="AA69" s="62"/>
      <c r="AB69" s="62"/>
      <c r="AC69" s="62"/>
    </row>
    <row r="70" spans="1:29" ht="15" customHeight="1" x14ac:dyDescent="0.25">
      <c r="A70" s="110" t="s">
        <v>68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62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62"/>
      <c r="Z70" s="62"/>
      <c r="AA70" s="62"/>
      <c r="AB70" s="62"/>
      <c r="AC70" s="62"/>
    </row>
    <row r="71" spans="1:29" x14ac:dyDescent="0.25">
      <c r="B71" s="3"/>
      <c r="C71" s="4"/>
      <c r="D71" s="4"/>
      <c r="E71" s="4"/>
      <c r="F71" s="4"/>
      <c r="G71" s="3"/>
      <c r="H71" s="3"/>
      <c r="I71" s="3"/>
      <c r="J71" s="4"/>
      <c r="K71" s="3"/>
      <c r="L71" s="3"/>
      <c r="M71" s="32"/>
      <c r="N71" s="62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62"/>
      <c r="Z71" s="62"/>
      <c r="AA71" s="62"/>
      <c r="AB71" s="62"/>
      <c r="AC71" s="62"/>
    </row>
    <row r="72" spans="1:29" x14ac:dyDescent="0.25">
      <c r="B72" s="3"/>
      <c r="C72" s="4"/>
      <c r="D72" s="4"/>
      <c r="E72" s="4"/>
      <c r="F72" s="4"/>
      <c r="G72" s="3"/>
      <c r="H72" s="3"/>
      <c r="I72" s="3"/>
      <c r="J72" s="4"/>
      <c r="K72" s="3"/>
      <c r="L72" s="3"/>
      <c r="M72" s="32"/>
      <c r="N72" s="62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62"/>
      <c r="Z72" s="62"/>
      <c r="AA72" s="62"/>
      <c r="AB72" s="62"/>
      <c r="AC72" s="62"/>
    </row>
    <row r="73" spans="1:29" x14ac:dyDescent="0.25">
      <c r="B73" s="3"/>
      <c r="C73" s="4"/>
      <c r="D73" s="4"/>
      <c r="E73" s="4"/>
      <c r="F73" s="4"/>
      <c r="G73" s="3"/>
      <c r="H73" s="3"/>
      <c r="I73" s="3"/>
      <c r="J73" s="4"/>
      <c r="K73" s="3"/>
      <c r="L73" s="3"/>
      <c r="M73" s="32"/>
      <c r="N73" s="62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62"/>
      <c r="Z73" s="62"/>
      <c r="AA73" s="62"/>
      <c r="AB73" s="62"/>
      <c r="AC73" s="62"/>
    </row>
  </sheetData>
  <mergeCells count="65">
    <mergeCell ref="K66:M66"/>
    <mergeCell ref="A70:M70"/>
    <mergeCell ref="D64:E64"/>
    <mergeCell ref="H64:I64"/>
    <mergeCell ref="K64:M64"/>
    <mergeCell ref="C65:D65"/>
    <mergeCell ref="H65:I65"/>
    <mergeCell ref="K65:M65"/>
    <mergeCell ref="A61:B61"/>
    <mergeCell ref="D63:E63"/>
    <mergeCell ref="H63:J63"/>
    <mergeCell ref="C66:D66"/>
    <mergeCell ref="H66:I66"/>
    <mergeCell ref="A56:B56"/>
    <mergeCell ref="A57:B57"/>
    <mergeCell ref="A58:B58"/>
    <mergeCell ref="A59:B59"/>
    <mergeCell ref="A60:B60"/>
    <mergeCell ref="A48:B48"/>
    <mergeCell ref="A49:B49"/>
    <mergeCell ref="A53:B53"/>
    <mergeCell ref="A54:B54"/>
    <mergeCell ref="A55:B55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19685039370078741" header="0.31496062992125984" footer="0.31496062992125984"/>
  <pageSetup scale="5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A67-09FA-4F40-AC59-9F60A17D75D7}">
  <dimension ref="A1:Q67"/>
  <sheetViews>
    <sheetView topLeftCell="B1" zoomScale="87" zoomScaleNormal="87" workbookViewId="0">
      <selection activeCell="N50" sqref="N50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3" bestFit="1" customWidth="1"/>
    <col min="15" max="15" width="14.5703125" customWidth="1"/>
    <col min="17" max="17" width="16.28515625" customWidth="1"/>
  </cols>
  <sheetData>
    <row r="1" spans="1:16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</row>
    <row r="2" spans="1:16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</row>
    <row r="3" spans="1:16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16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</row>
    <row r="5" spans="1:16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</row>
    <row r="6" spans="1:16" ht="15" customHeight="1" x14ac:dyDescent="0.25">
      <c r="A6" s="90" t="s">
        <v>74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</row>
    <row r="7" spans="1:16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</row>
    <row r="8" spans="1:16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</row>
    <row r="9" spans="1:16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3"/>
    </row>
    <row r="10" spans="1:16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</row>
    <row r="11" spans="1:16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</row>
    <row r="12" spans="1:16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</row>
    <row r="13" spans="1:16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3"/>
    </row>
    <row r="14" spans="1:16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60">
        <f>SUM(H14:I14)</f>
        <v>0</v>
      </c>
      <c r="L14" s="18"/>
      <c r="M14" s="19">
        <f t="shared" ref="M14:M47" si="1">F14-K14</f>
        <v>0</v>
      </c>
      <c r="N14" s="3"/>
    </row>
    <row r="15" spans="1:16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60">
        <f>SUM(H15:I15)</f>
        <v>0</v>
      </c>
      <c r="L15" s="18"/>
      <c r="M15" s="19">
        <f t="shared" si="1"/>
        <v>0</v>
      </c>
      <c r="N15" s="3"/>
    </row>
    <row r="16" spans="1:16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60">
        <f>SUM(H16:I16)</f>
        <v>0</v>
      </c>
      <c r="L16" s="24"/>
      <c r="M16" s="19">
        <f t="shared" si="1"/>
        <v>0</v>
      </c>
      <c r="N16" s="25"/>
      <c r="O16" s="30"/>
      <c r="P16" s="30"/>
    </row>
    <row r="17" spans="1:17" x14ac:dyDescent="0.25">
      <c r="A17" s="103" t="s">
        <v>22</v>
      </c>
      <c r="B17" s="103"/>
      <c r="C17" s="26">
        <v>20852032.469999999</v>
      </c>
      <c r="D17" s="27">
        <v>20850178.289999999</v>
      </c>
      <c r="E17" s="27">
        <v>250251.50000000003</v>
      </c>
      <c r="F17" s="17">
        <f t="shared" si="0"/>
        <v>41952462.259999998</v>
      </c>
      <c r="G17" s="18"/>
      <c r="H17" s="28">
        <f>'[10]113'!G160</f>
        <v>20852032.470000006</v>
      </c>
      <c r="I17" s="28">
        <f>'[10]113'!G161</f>
        <v>20850178.289999999</v>
      </c>
      <c r="J17" s="28">
        <f>'[10]113'!G162-'[10]113'!H162-'[10]113'!H163</f>
        <v>-507230.8</v>
      </c>
      <c r="K17" s="60">
        <f t="shared" ref="K17:K47" si="2">SUM(H17:J17)</f>
        <v>41194979.960000008</v>
      </c>
      <c r="L17" s="18"/>
      <c r="M17" s="19">
        <f t="shared" si="1"/>
        <v>757482.29999998957</v>
      </c>
      <c r="N17" s="29" t="s">
        <v>23</v>
      </c>
      <c r="O17" s="30">
        <f t="shared" ref="O17:O47" si="3">C17-H17</f>
        <v>0</v>
      </c>
      <c r="P17" s="30">
        <f t="shared" ref="P17:P47" si="4">D17-I17</f>
        <v>0</v>
      </c>
      <c r="Q17" s="30">
        <f t="shared" ref="Q17:Q47" si="5">E17-J17</f>
        <v>757482.3</v>
      </c>
    </row>
    <row r="18" spans="1:17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60">
        <f t="shared" si="2"/>
        <v>0</v>
      </c>
      <c r="L18" s="18"/>
      <c r="M18" s="19">
        <f t="shared" si="1"/>
        <v>0</v>
      </c>
      <c r="N18" s="3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spans="1:17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60">
        <f t="shared" si="2"/>
        <v>0</v>
      </c>
      <c r="L19" s="18"/>
      <c r="M19" s="19">
        <f t="shared" si="1"/>
        <v>0</v>
      </c>
      <c r="N19" s="3"/>
      <c r="O19" s="30">
        <f t="shared" si="3"/>
        <v>0</v>
      </c>
      <c r="P19" s="30">
        <f t="shared" si="4"/>
        <v>0</v>
      </c>
      <c r="Q19" s="30">
        <f t="shared" si="5"/>
        <v>0</v>
      </c>
    </row>
    <row r="20" spans="1:17" x14ac:dyDescent="0.25">
      <c r="A20" s="103" t="s">
        <v>26</v>
      </c>
      <c r="B20" s="103"/>
      <c r="C20" s="26">
        <v>4898173.88</v>
      </c>
      <c r="D20" s="27">
        <v>4914544.72</v>
      </c>
      <c r="E20" s="27"/>
      <c r="F20" s="17">
        <f t="shared" si="0"/>
        <v>9812718.5999999996</v>
      </c>
      <c r="G20" s="18"/>
      <c r="H20" s="28">
        <f>'[10]121'!F45</f>
        <v>4898173.88</v>
      </c>
      <c r="I20" s="28">
        <f>'[10]121'!F46</f>
        <v>4914544.72</v>
      </c>
      <c r="J20" s="28"/>
      <c r="K20" s="60">
        <f t="shared" si="2"/>
        <v>9812718.5999999996</v>
      </c>
      <c r="L20" s="18"/>
      <c r="M20" s="19">
        <f t="shared" si="1"/>
        <v>0</v>
      </c>
      <c r="N20" s="32"/>
      <c r="O20" s="30">
        <f t="shared" si="3"/>
        <v>0</v>
      </c>
      <c r="P20" s="30">
        <f t="shared" si="4"/>
        <v>0</v>
      </c>
      <c r="Q20" s="30">
        <f t="shared" si="5"/>
        <v>0</v>
      </c>
    </row>
    <row r="21" spans="1:17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60">
        <f t="shared" si="2"/>
        <v>0</v>
      </c>
      <c r="L21" s="24"/>
      <c r="M21" s="19">
        <f t="shared" si="1"/>
        <v>0</v>
      </c>
      <c r="N21" s="25"/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spans="1:17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60">
        <f t="shared" si="2"/>
        <v>0</v>
      </c>
      <c r="L22" s="18"/>
      <c r="M22" s="19">
        <f t="shared" si="1"/>
        <v>0</v>
      </c>
      <c r="N22" s="3"/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spans="1:17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60">
        <f t="shared" si="2"/>
        <v>0</v>
      </c>
      <c r="L23" s="18"/>
      <c r="M23" s="19">
        <f t="shared" si="1"/>
        <v>0</v>
      </c>
      <c r="N23" s="3"/>
      <c r="O23" s="30">
        <f t="shared" si="3"/>
        <v>0</v>
      </c>
      <c r="P23" s="30">
        <f t="shared" si="4"/>
        <v>0</v>
      </c>
      <c r="Q23" s="30">
        <f t="shared" si="5"/>
        <v>0</v>
      </c>
    </row>
    <row r="24" spans="1:17" x14ac:dyDescent="0.25">
      <c r="A24" s="103" t="s">
        <v>30</v>
      </c>
      <c r="B24" s="103"/>
      <c r="C24" s="26">
        <v>2752127.19</v>
      </c>
      <c r="D24" s="27">
        <v>2751069.25</v>
      </c>
      <c r="E24" s="27">
        <v>0</v>
      </c>
      <c r="F24" s="17">
        <f t="shared" si="0"/>
        <v>5503196.4399999995</v>
      </c>
      <c r="G24" s="24"/>
      <c r="H24" s="28">
        <f>'[10]131'!G53</f>
        <v>2752127.19</v>
      </c>
      <c r="I24" s="28">
        <f>'[10]131'!G54</f>
        <v>2751069.25</v>
      </c>
      <c r="J24" s="28">
        <f>-'[10]131'!H55</f>
        <v>-126954.58000000002</v>
      </c>
      <c r="K24" s="60">
        <f t="shared" si="2"/>
        <v>5376241.8599999994</v>
      </c>
      <c r="L24" s="24"/>
      <c r="M24" s="19">
        <f t="shared" si="1"/>
        <v>126954.58000000007</v>
      </c>
      <c r="N24" s="29" t="s">
        <v>23</v>
      </c>
      <c r="O24" s="30">
        <f t="shared" si="3"/>
        <v>0</v>
      </c>
      <c r="P24" s="30">
        <f t="shared" si="4"/>
        <v>0</v>
      </c>
      <c r="Q24" s="30">
        <f t="shared" si="5"/>
        <v>126954.58000000002</v>
      </c>
    </row>
    <row r="25" spans="1:17" x14ac:dyDescent="0.25">
      <c r="A25" s="103" t="s">
        <v>31</v>
      </c>
      <c r="B25" s="103"/>
      <c r="C25" s="26"/>
      <c r="D25" s="27"/>
      <c r="E25" s="27">
        <v>28997.480000000003</v>
      </c>
      <c r="F25" s="17">
        <f t="shared" si="0"/>
        <v>28997.480000000003</v>
      </c>
      <c r="G25" s="18"/>
      <c r="H25" s="28"/>
      <c r="I25" s="28"/>
      <c r="J25" s="28">
        <f>'[10]132'!G71-'[10]132'!H71-'[10]132'!H72</f>
        <v>28997.479999999992</v>
      </c>
      <c r="K25" s="60">
        <f t="shared" si="2"/>
        <v>28997.479999999992</v>
      </c>
      <c r="L25" s="18"/>
      <c r="M25" s="19">
        <f t="shared" si="1"/>
        <v>0</v>
      </c>
      <c r="N25" s="32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spans="1:17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60">
        <f t="shared" si="2"/>
        <v>0</v>
      </c>
      <c r="L26" s="18"/>
      <c r="M26" s="19">
        <f t="shared" si="1"/>
        <v>0</v>
      </c>
      <c r="N26" s="3"/>
      <c r="O26" s="30">
        <f t="shared" si="3"/>
        <v>0</v>
      </c>
      <c r="P26" s="30">
        <f t="shared" si="4"/>
        <v>0</v>
      </c>
      <c r="Q26" s="30">
        <f t="shared" si="5"/>
        <v>0</v>
      </c>
    </row>
    <row r="27" spans="1:17" x14ac:dyDescent="0.25">
      <c r="A27" s="103" t="s">
        <v>33</v>
      </c>
      <c r="B27" s="103"/>
      <c r="C27" s="26">
        <v>563102.79</v>
      </c>
      <c r="D27" s="27">
        <v>541111.32000000007</v>
      </c>
      <c r="E27" s="27"/>
      <c r="F27" s="17">
        <f t="shared" si="0"/>
        <v>1104214.1100000001</v>
      </c>
      <c r="G27" s="18"/>
      <c r="H27" s="28">
        <f>'[10]134'!G52</f>
        <v>563102.79</v>
      </c>
      <c r="I27" s="28">
        <f>'[10]134'!G53</f>
        <v>541111.32000000007</v>
      </c>
      <c r="J27" s="28">
        <f>-'[10]134'!H54</f>
        <v>-13206.4</v>
      </c>
      <c r="K27" s="60">
        <f t="shared" si="2"/>
        <v>1091007.7100000002</v>
      </c>
      <c r="L27" s="18"/>
      <c r="M27" s="19">
        <f t="shared" si="1"/>
        <v>13206.399999999907</v>
      </c>
      <c r="N27" s="29" t="s">
        <v>23</v>
      </c>
      <c r="O27" s="30">
        <f t="shared" si="3"/>
        <v>0</v>
      </c>
      <c r="P27" s="30">
        <f t="shared" si="4"/>
        <v>0</v>
      </c>
      <c r="Q27" s="30">
        <f t="shared" si="5"/>
        <v>13206.4</v>
      </c>
    </row>
    <row r="28" spans="1:17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60">
        <f t="shared" si="2"/>
        <v>0</v>
      </c>
      <c r="L28" s="18"/>
      <c r="M28" s="19">
        <f t="shared" si="1"/>
        <v>0</v>
      </c>
      <c r="N28" s="3"/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spans="1:17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60">
        <f t="shared" si="2"/>
        <v>0</v>
      </c>
      <c r="L29" s="18"/>
      <c r="M29" s="19">
        <f t="shared" si="1"/>
        <v>0</v>
      </c>
      <c r="N29" s="3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spans="1:17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60">
        <f t="shared" si="2"/>
        <v>0</v>
      </c>
      <c r="L30" s="18"/>
      <c r="M30" s="19">
        <f t="shared" si="1"/>
        <v>0</v>
      </c>
      <c r="N30" s="3"/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spans="1:17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60">
        <f t="shared" si="2"/>
        <v>0</v>
      </c>
      <c r="L31" s="18"/>
      <c r="M31" s="19">
        <f t="shared" si="1"/>
        <v>0</v>
      </c>
      <c r="N31" s="3"/>
      <c r="O31" s="30">
        <f t="shared" si="3"/>
        <v>0</v>
      </c>
      <c r="P31" s="30">
        <f t="shared" si="4"/>
        <v>0</v>
      </c>
      <c r="Q31" s="30">
        <f t="shared" si="5"/>
        <v>0</v>
      </c>
    </row>
    <row r="32" spans="1:17" x14ac:dyDescent="0.25">
      <c r="A32" s="33" t="s">
        <v>38</v>
      </c>
      <c r="B32" s="34"/>
      <c r="C32" s="26">
        <v>3243087.24</v>
      </c>
      <c r="D32" s="27">
        <v>3239457.0999999996</v>
      </c>
      <c r="E32" s="27"/>
      <c r="F32" s="17">
        <f t="shared" si="0"/>
        <v>6482544.3399999999</v>
      </c>
      <c r="G32" s="18"/>
      <c r="H32" s="28">
        <f>'[10]141'!G46</f>
        <v>3243087.24</v>
      </c>
      <c r="I32" s="28">
        <f>'[10]141'!G47</f>
        <v>3239457.0999999996</v>
      </c>
      <c r="J32" s="28">
        <f>-'[10]141'!H49</f>
        <v>-116720.68</v>
      </c>
      <c r="K32" s="60">
        <f t="shared" si="2"/>
        <v>6365823.6600000001</v>
      </c>
      <c r="L32" s="18"/>
      <c r="M32" s="19">
        <f t="shared" si="1"/>
        <v>116720.6799999997</v>
      </c>
      <c r="N32" s="29" t="s">
        <v>23</v>
      </c>
      <c r="O32" s="30">
        <f t="shared" si="3"/>
        <v>0</v>
      </c>
      <c r="P32" s="30">
        <f t="shared" si="4"/>
        <v>0</v>
      </c>
      <c r="Q32" s="30">
        <f t="shared" si="5"/>
        <v>116720.68</v>
      </c>
    </row>
    <row r="33" spans="1:17" x14ac:dyDescent="0.25">
      <c r="A33" s="33" t="s">
        <v>39</v>
      </c>
      <c r="B33" s="34"/>
      <c r="C33" s="26">
        <v>1070692.02</v>
      </c>
      <c r="D33" s="27">
        <v>1069493.5900000001</v>
      </c>
      <c r="E33" s="27"/>
      <c r="F33" s="17">
        <f t="shared" si="0"/>
        <v>2140185.6100000003</v>
      </c>
      <c r="G33" s="18"/>
      <c r="H33" s="28">
        <f>'[10]142'!F32</f>
        <v>1070692.02</v>
      </c>
      <c r="I33" s="28">
        <f>'[10]142'!F33</f>
        <v>1069493.5900000001</v>
      </c>
      <c r="J33" s="28">
        <f>-'[10]142'!G35</f>
        <v>-38534.480000000003</v>
      </c>
      <c r="K33" s="60">
        <f t="shared" si="2"/>
        <v>2101651.1300000004</v>
      </c>
      <c r="L33" s="18"/>
      <c r="M33" s="19">
        <f t="shared" si="1"/>
        <v>38534.479999999981</v>
      </c>
      <c r="N33" s="29" t="s">
        <v>23</v>
      </c>
      <c r="O33" s="30">
        <f t="shared" si="3"/>
        <v>0</v>
      </c>
      <c r="P33" s="30">
        <f t="shared" si="4"/>
        <v>0</v>
      </c>
      <c r="Q33" s="30">
        <f t="shared" si="5"/>
        <v>38534.480000000003</v>
      </c>
    </row>
    <row r="34" spans="1:17" x14ac:dyDescent="0.25">
      <c r="A34" s="35" t="s">
        <v>40</v>
      </c>
      <c r="B34" s="36"/>
      <c r="C34" s="26">
        <v>223619.57</v>
      </c>
      <c r="D34" s="27">
        <v>222880.08</v>
      </c>
      <c r="E34" s="27"/>
      <c r="F34" s="17">
        <f t="shared" si="0"/>
        <v>446499.65</v>
      </c>
      <c r="G34" s="18"/>
      <c r="H34" s="28">
        <f>'[10]143'!F32</f>
        <v>223619.57</v>
      </c>
      <c r="I34" s="28">
        <f>'[10]143'!F33</f>
        <v>222880.08</v>
      </c>
      <c r="J34" s="28">
        <f>-'[10]143'!G35</f>
        <v>-12623.060000000001</v>
      </c>
      <c r="K34" s="60">
        <f t="shared" si="2"/>
        <v>433876.59</v>
      </c>
      <c r="L34" s="18"/>
      <c r="M34" s="19">
        <f t="shared" si="1"/>
        <v>12623.059999999998</v>
      </c>
      <c r="N34" s="29" t="s">
        <v>23</v>
      </c>
      <c r="O34" s="30">
        <f t="shared" si="3"/>
        <v>0</v>
      </c>
      <c r="P34" s="30">
        <f t="shared" si="4"/>
        <v>0</v>
      </c>
      <c r="Q34" s="30">
        <f t="shared" si="5"/>
        <v>12623.060000000001</v>
      </c>
    </row>
    <row r="35" spans="1:17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60">
        <f t="shared" si="2"/>
        <v>0</v>
      </c>
      <c r="L35" s="18"/>
      <c r="M35" s="19">
        <f t="shared" si="1"/>
        <v>0</v>
      </c>
      <c r="N35" s="3"/>
      <c r="O35" s="30">
        <f t="shared" si="3"/>
        <v>0</v>
      </c>
      <c r="P35" s="30">
        <f t="shared" si="4"/>
        <v>0</v>
      </c>
      <c r="Q35" s="30">
        <f t="shared" si="5"/>
        <v>0</v>
      </c>
    </row>
    <row r="36" spans="1:17" x14ac:dyDescent="0.25">
      <c r="A36" s="115" t="s">
        <v>43</v>
      </c>
      <c r="B36" s="116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60">
        <f t="shared" si="2"/>
        <v>0</v>
      </c>
      <c r="L36" s="18"/>
      <c r="M36" s="19">
        <f t="shared" si="1"/>
        <v>0</v>
      </c>
      <c r="N36" s="3"/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spans="1:17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60">
        <f t="shared" si="2"/>
        <v>0</v>
      </c>
      <c r="L37" s="18"/>
      <c r="M37" s="19">
        <f t="shared" si="1"/>
        <v>0</v>
      </c>
      <c r="N37" s="3"/>
      <c r="O37" s="30">
        <f t="shared" si="3"/>
        <v>0</v>
      </c>
      <c r="P37" s="30">
        <f t="shared" si="4"/>
        <v>0</v>
      </c>
      <c r="Q37" s="30">
        <f t="shared" si="5"/>
        <v>0</v>
      </c>
    </row>
    <row r="38" spans="1:17" x14ac:dyDescent="0.25">
      <c r="A38" s="103" t="s">
        <v>45</v>
      </c>
      <c r="B38" s="103"/>
      <c r="C38" s="26"/>
      <c r="D38" s="27"/>
      <c r="E38" s="27">
        <v>495102.65</v>
      </c>
      <c r="F38" s="17">
        <f t="shared" si="0"/>
        <v>495102.65</v>
      </c>
      <c r="G38" s="18"/>
      <c r="H38" s="28"/>
      <c r="I38" s="28"/>
      <c r="J38" s="28">
        <f>'[10]152'!G135+'[10]152'!G136</f>
        <v>8288802.6900000013</v>
      </c>
      <c r="K38" s="60">
        <f t="shared" si="2"/>
        <v>8288802.6900000013</v>
      </c>
      <c r="L38" s="18"/>
      <c r="M38" s="19">
        <f t="shared" si="1"/>
        <v>-7793700.040000001</v>
      </c>
      <c r="N38" s="29" t="s">
        <v>42</v>
      </c>
      <c r="O38" s="30">
        <f t="shared" si="3"/>
        <v>0</v>
      </c>
      <c r="P38" s="30">
        <f t="shared" si="4"/>
        <v>0</v>
      </c>
      <c r="Q38" s="30">
        <f t="shared" si="5"/>
        <v>-7793700.040000001</v>
      </c>
    </row>
    <row r="39" spans="1:17" x14ac:dyDescent="0.25">
      <c r="A39" s="103" t="s">
        <v>47</v>
      </c>
      <c r="B39" s="103"/>
      <c r="C39" s="26"/>
      <c r="D39" s="27"/>
      <c r="E39" s="27">
        <v>278139.64</v>
      </c>
      <c r="F39" s="17">
        <f t="shared" si="0"/>
        <v>278139.64</v>
      </c>
      <c r="G39" s="18"/>
      <c r="H39" s="28"/>
      <c r="I39" s="28"/>
      <c r="J39" s="28">
        <f>'[10]153'!G33</f>
        <v>278139.63999999996</v>
      </c>
      <c r="K39" s="60">
        <f t="shared" si="2"/>
        <v>278139.63999999996</v>
      </c>
      <c r="L39" s="18"/>
      <c r="M39" s="19">
        <f t="shared" si="1"/>
        <v>0</v>
      </c>
      <c r="N39" s="3"/>
      <c r="O39" s="30">
        <f t="shared" si="3"/>
        <v>0</v>
      </c>
      <c r="P39" s="30">
        <f t="shared" si="4"/>
        <v>0</v>
      </c>
      <c r="Q39" s="30">
        <f t="shared" si="5"/>
        <v>0</v>
      </c>
    </row>
    <row r="40" spans="1:17" x14ac:dyDescent="0.25">
      <c r="A40" s="103" t="s">
        <v>48</v>
      </c>
      <c r="B40" s="103"/>
      <c r="C40" s="26">
        <v>33567655.090000011</v>
      </c>
      <c r="D40" s="27">
        <v>37868371.729999997</v>
      </c>
      <c r="E40" s="27">
        <v>338377.8</v>
      </c>
      <c r="F40" s="17">
        <f t="shared" si="0"/>
        <v>71774404.620000005</v>
      </c>
      <c r="G40" s="18"/>
      <c r="H40" s="28">
        <f>'[10]154'!G92</f>
        <v>33567655.089999996</v>
      </c>
      <c r="I40" s="28">
        <f>'[10]154'!G93</f>
        <v>37868371.729999997</v>
      </c>
      <c r="J40" s="28">
        <f>'[10]154'!G94-'[10]154'!H94-'[10]154'!H95</f>
        <v>-680412.89999999991</v>
      </c>
      <c r="K40" s="60">
        <f t="shared" si="2"/>
        <v>70755613.919999987</v>
      </c>
      <c r="L40" s="18"/>
      <c r="M40" s="19">
        <f t="shared" si="1"/>
        <v>1018790.7000000179</v>
      </c>
      <c r="N40" s="29" t="s">
        <v>23</v>
      </c>
      <c r="O40" s="30">
        <f t="shared" si="3"/>
        <v>0</v>
      </c>
      <c r="P40" s="30">
        <f t="shared" si="4"/>
        <v>0</v>
      </c>
      <c r="Q40" s="30">
        <f t="shared" si="5"/>
        <v>1018790.7</v>
      </c>
    </row>
    <row r="41" spans="1:17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60">
        <f t="shared" si="2"/>
        <v>0</v>
      </c>
      <c r="L41" s="18"/>
      <c r="M41" s="19">
        <f t="shared" si="1"/>
        <v>0</v>
      </c>
      <c r="N41" s="3"/>
      <c r="O41" s="30">
        <f t="shared" si="3"/>
        <v>0</v>
      </c>
      <c r="P41" s="30">
        <f t="shared" si="4"/>
        <v>0</v>
      </c>
      <c r="Q41" s="30">
        <f t="shared" si="5"/>
        <v>0</v>
      </c>
    </row>
    <row r="42" spans="1:17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60">
        <f t="shared" si="2"/>
        <v>0</v>
      </c>
      <c r="L42" s="18"/>
      <c r="M42" s="19">
        <f t="shared" si="1"/>
        <v>0</v>
      </c>
      <c r="N42" s="3"/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spans="1:17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60">
        <f t="shared" si="2"/>
        <v>0</v>
      </c>
      <c r="L43" s="18"/>
      <c r="M43" s="19">
        <f t="shared" si="1"/>
        <v>0</v>
      </c>
      <c r="N43" s="3"/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spans="1:17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60">
        <f t="shared" si="2"/>
        <v>0</v>
      </c>
      <c r="L44" s="18"/>
      <c r="M44" s="19">
        <f t="shared" si="1"/>
        <v>0</v>
      </c>
      <c r="N44" s="3"/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spans="1:17" x14ac:dyDescent="0.25">
      <c r="A45" s="102" t="s">
        <v>53</v>
      </c>
      <c r="B45" s="102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60">
        <f t="shared" si="2"/>
        <v>0</v>
      </c>
      <c r="L45" s="18"/>
      <c r="M45" s="19">
        <f t="shared" si="1"/>
        <v>0</v>
      </c>
      <c r="N45" s="3"/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spans="1:17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60">
        <f t="shared" si="2"/>
        <v>0</v>
      </c>
      <c r="L46" s="18"/>
      <c r="M46" s="19">
        <f t="shared" si="1"/>
        <v>0</v>
      </c>
      <c r="N46" s="3"/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spans="1:17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60">
        <f t="shared" si="2"/>
        <v>0</v>
      </c>
      <c r="L47" s="24"/>
      <c r="M47" s="19">
        <f t="shared" si="1"/>
        <v>0</v>
      </c>
      <c r="N47" s="25"/>
      <c r="O47" s="30">
        <f t="shared" si="3"/>
        <v>0</v>
      </c>
      <c r="P47" s="30">
        <f t="shared" si="4"/>
        <v>0</v>
      </c>
      <c r="Q47" s="30">
        <f t="shared" si="5"/>
        <v>0</v>
      </c>
    </row>
    <row r="48" spans="1:17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60"/>
      <c r="L48" s="24"/>
      <c r="M48" s="19"/>
      <c r="N48" s="25"/>
    </row>
    <row r="49" spans="1:14" x14ac:dyDescent="0.25">
      <c r="A49" s="106" t="s">
        <v>56</v>
      </c>
      <c r="B49" s="106"/>
      <c r="C49" s="39">
        <f>SUM(C14:C48)</f>
        <v>67170490.25</v>
      </c>
      <c r="D49" s="40">
        <f>SUM(D14:D48)</f>
        <v>71457106.079999998</v>
      </c>
      <c r="E49" s="40">
        <f>SUM(E14:E48)</f>
        <v>1390869.07</v>
      </c>
      <c r="F49" s="40">
        <f>SUM(F14:F48)</f>
        <v>140018465.40000001</v>
      </c>
      <c r="G49" s="18"/>
      <c r="H49" s="40">
        <f>SUM(H14:H48)</f>
        <v>67170490.25</v>
      </c>
      <c r="I49" s="40">
        <f>SUM(I14:I48)</f>
        <v>71457106.079999998</v>
      </c>
      <c r="J49" s="40">
        <f>SUM(J14:J48)</f>
        <v>7100256.910000002</v>
      </c>
      <c r="K49" s="40">
        <f>SUM(K14:K48)</f>
        <v>145727853.24000001</v>
      </c>
      <c r="L49" s="18"/>
      <c r="M49" s="57">
        <f>F49-K49</f>
        <v>-5709387.8400000036</v>
      </c>
      <c r="N49" s="59">
        <f>M49-C53-C54</f>
        <v>-9.3132257461547852E-9</v>
      </c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8"/>
      <c r="L50" s="14"/>
      <c r="M50" s="14"/>
      <c r="N50" s="3"/>
    </row>
    <row r="51" spans="1:14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18"/>
      <c r="L51" s="14"/>
      <c r="M51" s="14"/>
      <c r="N51" s="3"/>
    </row>
    <row r="52" spans="1:14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3"/>
    </row>
    <row r="53" spans="1:14" x14ac:dyDescent="0.25">
      <c r="A53" s="103" t="s">
        <v>59</v>
      </c>
      <c r="B53" s="103"/>
      <c r="C53" s="45">
        <f>M17+M24+M27+M32+M33+M34+M40</f>
        <v>2084312.2000000072</v>
      </c>
      <c r="D53" s="14"/>
      <c r="E53" s="14"/>
      <c r="F53" s="14"/>
      <c r="G53" s="14"/>
      <c r="H53" s="14"/>
      <c r="I53" s="14"/>
      <c r="J53" s="14"/>
      <c r="K53" s="18"/>
      <c r="L53" s="14"/>
      <c r="M53" s="14"/>
      <c r="N53" s="3"/>
    </row>
    <row r="54" spans="1:14" x14ac:dyDescent="0.25">
      <c r="A54" s="47" t="s">
        <v>73</v>
      </c>
      <c r="B54" s="46"/>
      <c r="C54" s="45">
        <f>M38</f>
        <v>-7793700.040000001</v>
      </c>
      <c r="D54" s="49"/>
      <c r="E54" s="49"/>
      <c r="F54" s="14"/>
      <c r="G54" s="14"/>
      <c r="H54" s="14"/>
      <c r="I54" s="14"/>
      <c r="J54" s="14"/>
      <c r="K54" s="14"/>
      <c r="L54" s="14"/>
      <c r="M54" s="18"/>
      <c r="N54" s="3"/>
    </row>
    <row r="55" spans="1:14" x14ac:dyDescent="0.25">
      <c r="A55" s="50"/>
      <c r="B55" s="50"/>
      <c r="C55" s="58"/>
      <c r="D55" s="49"/>
      <c r="E55" s="14"/>
      <c r="F55" s="14"/>
      <c r="G55" s="14"/>
      <c r="H55" s="14"/>
      <c r="I55" s="14"/>
      <c r="J55" s="14"/>
      <c r="K55" s="14"/>
      <c r="L55" s="14"/>
      <c r="M55" s="18"/>
      <c r="N55" s="3"/>
    </row>
    <row r="56" spans="1:14" x14ac:dyDescent="0.25">
      <c r="A56" s="50"/>
      <c r="B56" s="50"/>
      <c r="C56" s="58"/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3"/>
    </row>
    <row r="57" spans="1:14" x14ac:dyDescent="0.25">
      <c r="B57" s="3"/>
      <c r="C57" s="4"/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32"/>
    </row>
    <row r="58" spans="1:14" ht="15.75" thickBot="1" x14ac:dyDescent="0.3">
      <c r="B58" s="3"/>
      <c r="C58" s="4"/>
      <c r="D58" s="107"/>
      <c r="E58" s="107"/>
      <c r="F58" s="52"/>
      <c r="G58" s="3"/>
      <c r="H58" s="111"/>
      <c r="I58" s="111"/>
      <c r="J58" s="25"/>
      <c r="K58" s="112"/>
      <c r="L58" s="112"/>
      <c r="M58" s="112"/>
      <c r="N58" s="32"/>
    </row>
    <row r="59" spans="1:14" x14ac:dyDescent="0.25">
      <c r="A59" s="53" t="s">
        <v>62</v>
      </c>
      <c r="B59" s="3"/>
      <c r="C59" s="113" t="s">
        <v>63</v>
      </c>
      <c r="D59" s="113"/>
      <c r="E59" s="52"/>
      <c r="F59" s="52"/>
      <c r="G59" s="3"/>
      <c r="H59" s="113" t="s">
        <v>62</v>
      </c>
      <c r="I59" s="113"/>
      <c r="J59" s="54"/>
      <c r="K59" s="113" t="s">
        <v>63</v>
      </c>
      <c r="L59" s="113"/>
      <c r="M59" s="113"/>
      <c r="N59" s="32"/>
    </row>
    <row r="60" spans="1:14" x14ac:dyDescent="0.25">
      <c r="A60" s="55" t="s">
        <v>64</v>
      </c>
      <c r="B60" s="3"/>
      <c r="C60" s="108" t="s">
        <v>65</v>
      </c>
      <c r="D60" s="108"/>
      <c r="E60" s="4"/>
      <c r="F60" s="4"/>
      <c r="G60" s="3"/>
      <c r="H60" s="109" t="s">
        <v>66</v>
      </c>
      <c r="I60" s="109"/>
      <c r="J60" s="4"/>
      <c r="K60" s="109" t="s">
        <v>67</v>
      </c>
      <c r="L60" s="109"/>
      <c r="M60" s="109"/>
      <c r="N60" s="32"/>
    </row>
    <row r="61" spans="1:14" x14ac:dyDescent="0.25">
      <c r="B61" s="3"/>
      <c r="C61" s="4"/>
      <c r="D61" s="4"/>
      <c r="E61" s="4"/>
      <c r="F61" s="4"/>
      <c r="G61" s="3"/>
      <c r="H61" s="3"/>
      <c r="I61" s="3"/>
      <c r="J61" s="4"/>
      <c r="K61" s="3"/>
      <c r="L61" s="3"/>
      <c r="M61" s="32"/>
      <c r="N61" s="32"/>
    </row>
    <row r="62" spans="1:14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3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</row>
    <row r="64" spans="1:14" ht="15" customHeight="1" x14ac:dyDescent="0.25">
      <c r="A64" s="110" t="s">
        <v>68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32"/>
    </row>
    <row r="65" spans="2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32"/>
    </row>
    <row r="66" spans="2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32"/>
    </row>
    <row r="67" spans="2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</row>
  </sheetData>
  <mergeCells count="57">
    <mergeCell ref="D58:E58"/>
    <mergeCell ref="H58:I58"/>
    <mergeCell ref="A64:M64"/>
    <mergeCell ref="K58:M58"/>
    <mergeCell ref="C59:D59"/>
    <mergeCell ref="H59:I59"/>
    <mergeCell ref="K59:M59"/>
    <mergeCell ref="C60:D60"/>
    <mergeCell ref="H60:I60"/>
    <mergeCell ref="K60:M60"/>
    <mergeCell ref="A48:B48"/>
    <mergeCell ref="A49:B49"/>
    <mergeCell ref="A53:B53"/>
    <mergeCell ref="D57:E57"/>
    <mergeCell ref="H57:J57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74803149606299213" bottom="0.74803149606299213" header="0.31496062992125984" footer="0.31496062992125984"/>
  <pageSetup scale="5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ED77-77D7-4144-B41A-3D62303A21A6}">
  <dimension ref="A1:Q67"/>
  <sheetViews>
    <sheetView zoomScale="89" zoomScaleNormal="89" workbookViewId="0">
      <selection activeCell="A7" sqref="A7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5" max="17" width="16.140625" customWidth="1"/>
  </cols>
  <sheetData>
    <row r="1" spans="1:17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</row>
    <row r="2" spans="1:17" ht="11.25" customHeight="1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</row>
    <row r="3" spans="1:17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17" ht="12.75" customHeight="1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</row>
    <row r="5" spans="1:17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</row>
    <row r="6" spans="1:17" ht="15" customHeight="1" x14ac:dyDescent="0.25">
      <c r="A6" s="90" t="s">
        <v>72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</row>
    <row r="7" spans="1:17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</row>
    <row r="8" spans="1:17" ht="15.75" customHeight="1" thickBot="1" x14ac:dyDescent="0.3">
      <c r="A8" s="91" t="s">
        <v>4</v>
      </c>
      <c r="B8" s="91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</row>
    <row r="9" spans="1:17" ht="15.75" customHeight="1" thickBot="1" x14ac:dyDescent="0.3">
      <c r="A9" s="91"/>
      <c r="B9" s="91"/>
      <c r="C9" s="92" t="s">
        <v>5</v>
      </c>
      <c r="D9" s="92"/>
      <c r="E9" s="92"/>
      <c r="F9" s="93"/>
      <c r="G9" s="5"/>
      <c r="H9" s="94" t="s">
        <v>6</v>
      </c>
      <c r="I9" s="95"/>
      <c r="J9" s="95"/>
      <c r="K9" s="96"/>
      <c r="L9" s="5"/>
      <c r="M9" s="6"/>
      <c r="N9" s="5"/>
    </row>
    <row r="10" spans="1:17" ht="15.75" thickBot="1" x14ac:dyDescent="0.3">
      <c r="A10" s="97" t="s">
        <v>7</v>
      </c>
      <c r="B10" s="97"/>
      <c r="C10" s="98" t="s">
        <v>8</v>
      </c>
      <c r="D10" s="92"/>
      <c r="E10" s="93"/>
      <c r="F10" s="7" t="s">
        <v>9</v>
      </c>
      <c r="G10" s="5"/>
      <c r="H10" s="99" t="s">
        <v>10</v>
      </c>
      <c r="I10" s="92"/>
      <c r="J10" s="93"/>
      <c r="K10" s="7" t="s">
        <v>11</v>
      </c>
      <c r="L10" s="5"/>
      <c r="M10" s="8" t="s">
        <v>12</v>
      </c>
      <c r="N10" s="5"/>
    </row>
    <row r="11" spans="1:17" ht="45.75" thickBot="1" x14ac:dyDescent="0.3">
      <c r="A11" s="91" t="s">
        <v>13</v>
      </c>
      <c r="B11" s="91"/>
      <c r="C11" s="9" t="s">
        <v>14</v>
      </c>
      <c r="D11" s="10" t="s">
        <v>15</v>
      </c>
      <c r="E11" s="10" t="s">
        <v>16</v>
      </c>
      <c r="F11" s="10" t="s">
        <v>17</v>
      </c>
      <c r="G11" s="11"/>
      <c r="H11" s="12" t="s">
        <v>14</v>
      </c>
      <c r="I11" s="10" t="s">
        <v>15</v>
      </c>
      <c r="J11" s="10" t="s">
        <v>16</v>
      </c>
      <c r="K11" s="10" t="s">
        <v>17</v>
      </c>
      <c r="L11" s="11"/>
      <c r="M11" s="8" t="s">
        <v>18</v>
      </c>
      <c r="N11" s="5"/>
    </row>
    <row r="12" spans="1:17" x14ac:dyDescent="0.25">
      <c r="A12" s="100"/>
      <c r="B12" s="101"/>
      <c r="C12" s="13"/>
      <c r="D12" s="13"/>
      <c r="E12" s="13"/>
      <c r="F12" s="13"/>
      <c r="G12" s="14"/>
      <c r="H12" s="14"/>
      <c r="I12" s="14"/>
      <c r="J12" s="13"/>
      <c r="K12" s="14"/>
      <c r="L12" s="14"/>
      <c r="M12" s="14"/>
      <c r="N12" s="3"/>
    </row>
    <row r="13" spans="1:17" x14ac:dyDescent="0.25">
      <c r="A13" s="102" t="s">
        <v>19</v>
      </c>
      <c r="B13" s="102"/>
      <c r="C13" s="16"/>
      <c r="D13" s="17"/>
      <c r="E13" s="16"/>
      <c r="F13" s="17">
        <f t="shared" ref="F13:F46" si="0">SUM(C13:E13)</f>
        <v>0</v>
      </c>
      <c r="G13" s="18"/>
      <c r="H13" s="17"/>
      <c r="I13" s="17"/>
      <c r="J13" s="17"/>
      <c r="K13" s="19">
        <f>SUM(H13:I13)</f>
        <v>0</v>
      </c>
      <c r="L13" s="18"/>
      <c r="M13" s="19">
        <f t="shared" ref="M13:M46" si="1">F13-K13</f>
        <v>0</v>
      </c>
      <c r="N13" s="3"/>
    </row>
    <row r="14" spans="1:17" x14ac:dyDescent="0.25">
      <c r="A14" s="103" t="s">
        <v>20</v>
      </c>
      <c r="B14" s="103"/>
      <c r="C14" s="21"/>
      <c r="D14" s="19"/>
      <c r="E14" s="21"/>
      <c r="F14" s="17">
        <f t="shared" si="0"/>
        <v>0</v>
      </c>
      <c r="G14" s="18"/>
      <c r="H14" s="19"/>
      <c r="I14" s="19"/>
      <c r="J14" s="19"/>
      <c r="K14" s="19">
        <f>SUM(H14:I14)</f>
        <v>0</v>
      </c>
      <c r="L14" s="18"/>
      <c r="M14" s="19">
        <f t="shared" si="1"/>
        <v>0</v>
      </c>
      <c r="N14" s="3"/>
    </row>
    <row r="15" spans="1:17" x14ac:dyDescent="0.25">
      <c r="A15" s="103" t="s">
        <v>21</v>
      </c>
      <c r="B15" s="103"/>
      <c r="C15" s="22"/>
      <c r="D15" s="23"/>
      <c r="E15" s="22"/>
      <c r="F15" s="17">
        <f t="shared" si="0"/>
        <v>0</v>
      </c>
      <c r="G15" s="24"/>
      <c r="H15" s="23"/>
      <c r="I15" s="23"/>
      <c r="J15" s="23"/>
      <c r="K15" s="19">
        <f>SUM(H15:I15)</f>
        <v>0</v>
      </c>
      <c r="L15" s="24"/>
      <c r="M15" s="19">
        <f t="shared" si="1"/>
        <v>0</v>
      </c>
      <c r="N15" s="25"/>
    </row>
    <row r="16" spans="1:17" x14ac:dyDescent="0.25">
      <c r="A16" s="103" t="s">
        <v>22</v>
      </c>
      <c r="B16" s="103"/>
      <c r="C16" s="26">
        <v>20982639.900000002</v>
      </c>
      <c r="D16" s="27">
        <v>20922425.179999996</v>
      </c>
      <c r="E16" s="27">
        <v>121169.59000000001</v>
      </c>
      <c r="F16" s="17">
        <f t="shared" si="0"/>
        <v>42026234.670000002</v>
      </c>
      <c r="G16" s="18"/>
      <c r="H16" s="28">
        <f>'[11]113'!G144</f>
        <v>20982639.899999999</v>
      </c>
      <c r="I16" s="28">
        <f>'[11]113'!G145</f>
        <v>20922425.179999996</v>
      </c>
      <c r="J16" s="28">
        <f>'[11]113'!G146+'[11]113'!G147+-'[11]113'!H147</f>
        <v>-1033938.8600000002</v>
      </c>
      <c r="K16" s="28">
        <f t="shared" ref="K16:K46" si="2">SUM(H16:J16)</f>
        <v>40871126.219999999</v>
      </c>
      <c r="L16" s="18"/>
      <c r="M16" s="19">
        <f t="shared" si="1"/>
        <v>1155108.450000003</v>
      </c>
      <c r="N16" s="29" t="s">
        <v>23</v>
      </c>
      <c r="O16" s="30">
        <f t="shared" ref="O16:O46" si="3">C16-H16</f>
        <v>0</v>
      </c>
      <c r="P16" s="30">
        <f t="shared" ref="P16:P46" si="4">D16-I16</f>
        <v>0</v>
      </c>
      <c r="Q16" s="30">
        <f t="shared" ref="Q16:Q46" si="5">E16-J16</f>
        <v>1155108.4500000002</v>
      </c>
    </row>
    <row r="17" spans="1:17" x14ac:dyDescent="0.25">
      <c r="A17" s="103" t="s">
        <v>24</v>
      </c>
      <c r="B17" s="103"/>
      <c r="C17" s="26"/>
      <c r="D17" s="27"/>
      <c r="E17" s="27"/>
      <c r="F17" s="17">
        <f t="shared" si="0"/>
        <v>0</v>
      </c>
      <c r="G17" s="18"/>
      <c r="H17" s="28"/>
      <c r="I17" s="28"/>
      <c r="J17" s="28"/>
      <c r="K17" s="28">
        <f t="shared" si="2"/>
        <v>0</v>
      </c>
      <c r="L17" s="18"/>
      <c r="M17" s="19">
        <f t="shared" si="1"/>
        <v>0</v>
      </c>
      <c r="N17" s="3"/>
      <c r="O17" s="30">
        <f t="shared" si="3"/>
        <v>0</v>
      </c>
      <c r="P17" s="30">
        <f t="shared" si="4"/>
        <v>0</v>
      </c>
      <c r="Q17" s="30">
        <f t="shared" si="5"/>
        <v>0</v>
      </c>
    </row>
    <row r="18" spans="1:17" x14ac:dyDescent="0.25">
      <c r="A18" s="102" t="s">
        <v>25</v>
      </c>
      <c r="B18" s="102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28">
        <f t="shared" si="2"/>
        <v>0</v>
      </c>
      <c r="L18" s="18"/>
      <c r="M18" s="19">
        <f t="shared" si="1"/>
        <v>0</v>
      </c>
      <c r="N18" s="3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spans="1:17" x14ac:dyDescent="0.25">
      <c r="A19" s="103" t="s">
        <v>26</v>
      </c>
      <c r="B19" s="103"/>
      <c r="C19" s="26">
        <v>4651244.7200000007</v>
      </c>
      <c r="D19" s="27">
        <v>5148578.04</v>
      </c>
      <c r="E19" s="27"/>
      <c r="F19" s="17">
        <f t="shared" si="0"/>
        <v>9799822.7600000016</v>
      </c>
      <c r="G19" s="18"/>
      <c r="H19" s="28">
        <f>'[11]121'!F45</f>
        <v>4651244.72</v>
      </c>
      <c r="I19" s="28">
        <f>'[11]121'!F46</f>
        <v>5148578.04</v>
      </c>
      <c r="J19" s="28">
        <f>-'[11]121'!G48</f>
        <v>-4937.5</v>
      </c>
      <c r="K19" s="28">
        <f t="shared" si="2"/>
        <v>9794885.2599999998</v>
      </c>
      <c r="L19" s="18"/>
      <c r="M19" s="19">
        <f t="shared" si="1"/>
        <v>4937.5000000018626</v>
      </c>
      <c r="N19" s="29" t="s">
        <v>23</v>
      </c>
      <c r="O19" s="30">
        <f t="shared" si="3"/>
        <v>0</v>
      </c>
      <c r="P19" s="30">
        <f t="shared" si="4"/>
        <v>0</v>
      </c>
      <c r="Q19" s="30">
        <f t="shared" si="5"/>
        <v>4937.5</v>
      </c>
    </row>
    <row r="20" spans="1:17" x14ac:dyDescent="0.25">
      <c r="A20" s="103" t="s">
        <v>27</v>
      </c>
      <c r="B20" s="103"/>
      <c r="C20" s="26"/>
      <c r="D20" s="27"/>
      <c r="E20" s="27"/>
      <c r="F20" s="17">
        <f t="shared" si="0"/>
        <v>0</v>
      </c>
      <c r="G20" s="24"/>
      <c r="H20" s="28"/>
      <c r="I20" s="28"/>
      <c r="J20" s="28"/>
      <c r="K20" s="28">
        <f t="shared" si="2"/>
        <v>0</v>
      </c>
      <c r="L20" s="24"/>
      <c r="M20" s="19">
        <f t="shared" si="1"/>
        <v>0</v>
      </c>
      <c r="N20" s="25"/>
      <c r="O20" s="30">
        <f t="shared" si="3"/>
        <v>0</v>
      </c>
      <c r="P20" s="30">
        <f t="shared" si="4"/>
        <v>0</v>
      </c>
      <c r="Q20" s="30">
        <f t="shared" si="5"/>
        <v>0</v>
      </c>
    </row>
    <row r="21" spans="1:17" x14ac:dyDescent="0.25">
      <c r="A21" s="103" t="s">
        <v>28</v>
      </c>
      <c r="B21" s="103"/>
      <c r="C21" s="26"/>
      <c r="D21" s="27"/>
      <c r="E21" s="27"/>
      <c r="F21" s="17">
        <f t="shared" si="0"/>
        <v>0</v>
      </c>
      <c r="G21" s="18"/>
      <c r="H21" s="28"/>
      <c r="I21" s="28"/>
      <c r="J21" s="28"/>
      <c r="K21" s="28">
        <f t="shared" si="2"/>
        <v>0</v>
      </c>
      <c r="L21" s="18"/>
      <c r="M21" s="19">
        <f t="shared" si="1"/>
        <v>0</v>
      </c>
      <c r="N21" s="3"/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spans="1:17" x14ac:dyDescent="0.25">
      <c r="A22" s="102" t="s">
        <v>29</v>
      </c>
      <c r="B22" s="102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28">
        <f t="shared" si="2"/>
        <v>0</v>
      </c>
      <c r="L22" s="18"/>
      <c r="M22" s="19">
        <f t="shared" si="1"/>
        <v>0</v>
      </c>
      <c r="N22" s="3"/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spans="1:17" x14ac:dyDescent="0.25">
      <c r="A23" s="103" t="s">
        <v>30</v>
      </c>
      <c r="B23" s="103"/>
      <c r="C23" s="26">
        <v>2735033.83</v>
      </c>
      <c r="D23" s="27">
        <v>2743302.5599999996</v>
      </c>
      <c r="E23" s="27"/>
      <c r="F23" s="17">
        <f t="shared" si="0"/>
        <v>5478336.3899999997</v>
      </c>
      <c r="G23" s="24"/>
      <c r="H23" s="28">
        <f>'[11]131'!G53</f>
        <v>2735033.8299999996</v>
      </c>
      <c r="I23" s="28">
        <f>'[11]131'!G54</f>
        <v>2743302.5599999996</v>
      </c>
      <c r="J23" s="28">
        <f>-'[11]131'!H55</f>
        <v>-194165.84</v>
      </c>
      <c r="K23" s="28">
        <f t="shared" si="2"/>
        <v>5284170.5499999989</v>
      </c>
      <c r="L23" s="24"/>
      <c r="M23" s="19">
        <f t="shared" si="1"/>
        <v>194165.84000000078</v>
      </c>
      <c r="N23" s="29" t="s">
        <v>23</v>
      </c>
      <c r="O23" s="30">
        <f t="shared" si="3"/>
        <v>0</v>
      </c>
      <c r="P23" s="30">
        <f t="shared" si="4"/>
        <v>0</v>
      </c>
      <c r="Q23" s="30">
        <f t="shared" si="5"/>
        <v>194165.84</v>
      </c>
    </row>
    <row r="24" spans="1:17" x14ac:dyDescent="0.25">
      <c r="A24" s="103" t="s">
        <v>31</v>
      </c>
      <c r="B24" s="103"/>
      <c r="C24" s="26"/>
      <c r="D24" s="27">
        <v>4938.17</v>
      </c>
      <c r="E24" s="27">
        <v>56072.799999999996</v>
      </c>
      <c r="F24" s="17">
        <f t="shared" si="0"/>
        <v>61010.969999999994</v>
      </c>
      <c r="G24" s="18"/>
      <c r="H24" s="28"/>
      <c r="I24" s="28">
        <f>'[11]132'!G50</f>
        <v>4938.17</v>
      </c>
      <c r="J24" s="28">
        <f>'[11]132'!G51</f>
        <v>56072.800000000003</v>
      </c>
      <c r="K24" s="28">
        <f t="shared" si="2"/>
        <v>61010.97</v>
      </c>
      <c r="L24" s="18"/>
      <c r="M24" s="19">
        <f t="shared" si="1"/>
        <v>0</v>
      </c>
      <c r="N24" s="3"/>
      <c r="O24" s="30">
        <f t="shared" si="3"/>
        <v>0</v>
      </c>
      <c r="P24" s="30">
        <f t="shared" si="4"/>
        <v>0</v>
      </c>
      <c r="Q24" s="30">
        <f t="shared" si="5"/>
        <v>0</v>
      </c>
    </row>
    <row r="25" spans="1:17" x14ac:dyDescent="0.25">
      <c r="A25" s="103" t="s">
        <v>32</v>
      </c>
      <c r="B25" s="103"/>
      <c r="C25" s="26"/>
      <c r="D25" s="27"/>
      <c r="E25" s="27"/>
      <c r="F25" s="17">
        <f t="shared" si="0"/>
        <v>0</v>
      </c>
      <c r="G25" s="18"/>
      <c r="H25" s="28"/>
      <c r="I25" s="28"/>
      <c r="J25" s="28"/>
      <c r="K25" s="28">
        <f t="shared" si="2"/>
        <v>0</v>
      </c>
      <c r="L25" s="18"/>
      <c r="M25" s="19">
        <f t="shared" si="1"/>
        <v>0</v>
      </c>
      <c r="N25" s="3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spans="1:17" x14ac:dyDescent="0.25">
      <c r="A26" s="103" t="s">
        <v>33</v>
      </c>
      <c r="B26" s="103"/>
      <c r="C26" s="26">
        <v>561616.53</v>
      </c>
      <c r="D26" s="27">
        <v>551632.62000000011</v>
      </c>
      <c r="E26" s="27"/>
      <c r="F26" s="17">
        <f t="shared" si="0"/>
        <v>1113249.1500000001</v>
      </c>
      <c r="G26" s="18"/>
      <c r="H26" s="28">
        <f>'[11]134'!F49</f>
        <v>561616.53</v>
      </c>
      <c r="I26" s="28">
        <f>'[11]134'!F50</f>
        <v>551632.62000000011</v>
      </c>
      <c r="J26" s="28">
        <f>-'[11]134'!G51</f>
        <v>-18775.5</v>
      </c>
      <c r="K26" s="28">
        <f t="shared" si="2"/>
        <v>1094473.6500000001</v>
      </c>
      <c r="L26" s="18"/>
      <c r="M26" s="19">
        <f t="shared" si="1"/>
        <v>18775.5</v>
      </c>
      <c r="N26" s="29" t="s">
        <v>23</v>
      </c>
      <c r="O26" s="30">
        <f t="shared" si="3"/>
        <v>0</v>
      </c>
      <c r="P26" s="30">
        <f t="shared" si="4"/>
        <v>0</v>
      </c>
      <c r="Q26" s="30">
        <f t="shared" si="5"/>
        <v>18775.5</v>
      </c>
    </row>
    <row r="27" spans="1:17" x14ac:dyDescent="0.25">
      <c r="A27" s="103" t="s">
        <v>34</v>
      </c>
      <c r="B27" s="103"/>
      <c r="C27" s="26"/>
      <c r="D27" s="27"/>
      <c r="E27" s="27"/>
      <c r="F27" s="17">
        <f t="shared" si="0"/>
        <v>0</v>
      </c>
      <c r="G27" s="18"/>
      <c r="H27" s="28"/>
      <c r="I27" s="28"/>
      <c r="J27" s="28"/>
      <c r="K27" s="28">
        <f t="shared" si="2"/>
        <v>0</v>
      </c>
      <c r="L27" s="18"/>
      <c r="M27" s="19">
        <f t="shared" si="1"/>
        <v>0</v>
      </c>
      <c r="N27" s="3"/>
      <c r="O27" s="30">
        <f t="shared" si="3"/>
        <v>0</v>
      </c>
      <c r="P27" s="30">
        <f t="shared" si="4"/>
        <v>0</v>
      </c>
      <c r="Q27" s="30">
        <f t="shared" si="5"/>
        <v>0</v>
      </c>
    </row>
    <row r="28" spans="1:17" x14ac:dyDescent="0.25">
      <c r="A28" s="104" t="s">
        <v>35</v>
      </c>
      <c r="B28" s="104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28">
        <f t="shared" si="2"/>
        <v>0</v>
      </c>
      <c r="L28" s="18"/>
      <c r="M28" s="19">
        <f t="shared" si="1"/>
        <v>0</v>
      </c>
      <c r="N28" s="3"/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spans="1:17" x14ac:dyDescent="0.25">
      <c r="A29" s="104" t="s">
        <v>36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28">
        <f t="shared" si="2"/>
        <v>0</v>
      </c>
      <c r="L29" s="18"/>
      <c r="M29" s="19">
        <f t="shared" si="1"/>
        <v>0</v>
      </c>
      <c r="N29" s="3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spans="1:17" x14ac:dyDescent="0.25">
      <c r="A30" s="102" t="s">
        <v>71</v>
      </c>
      <c r="B30" s="102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28">
        <f t="shared" si="2"/>
        <v>0</v>
      </c>
      <c r="L30" s="18"/>
      <c r="M30" s="19">
        <f t="shared" si="1"/>
        <v>0</v>
      </c>
      <c r="N30" s="3"/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spans="1:17" x14ac:dyDescent="0.25">
      <c r="A31" s="33" t="s">
        <v>38</v>
      </c>
      <c r="B31" s="34"/>
      <c r="C31" s="26">
        <v>3261093.5200000005</v>
      </c>
      <c r="D31" s="27">
        <v>3251273.2</v>
      </c>
      <c r="E31" s="27"/>
      <c r="F31" s="17">
        <f t="shared" si="0"/>
        <v>6512366.7200000007</v>
      </c>
      <c r="G31" s="18"/>
      <c r="H31" s="28">
        <f>'[11]141'!G45</f>
        <v>3261093.5200000005</v>
      </c>
      <c r="I31" s="28">
        <f>'[11]141'!G46</f>
        <v>3251273.2</v>
      </c>
      <c r="J31" s="28">
        <f>'[11]141'!G47-'[11]141'!H47</f>
        <v>-219759.84</v>
      </c>
      <c r="K31" s="28">
        <f t="shared" si="2"/>
        <v>6292606.8800000008</v>
      </c>
      <c r="L31" s="18"/>
      <c r="M31" s="19">
        <f t="shared" si="1"/>
        <v>219759.83999999985</v>
      </c>
      <c r="N31" s="29" t="s">
        <v>23</v>
      </c>
      <c r="O31" s="30">
        <f t="shared" si="3"/>
        <v>0</v>
      </c>
      <c r="P31" s="30">
        <f t="shared" si="4"/>
        <v>0</v>
      </c>
      <c r="Q31" s="30">
        <f t="shared" si="5"/>
        <v>219759.84</v>
      </c>
    </row>
    <row r="32" spans="1:17" x14ac:dyDescent="0.25">
      <c r="A32" s="33" t="s">
        <v>39</v>
      </c>
      <c r="B32" s="34"/>
      <c r="C32" s="26">
        <v>1076636.75</v>
      </c>
      <c r="D32" s="27">
        <v>1073394.6499999999</v>
      </c>
      <c r="E32" s="27"/>
      <c r="F32" s="17">
        <f t="shared" si="0"/>
        <v>2150031.4</v>
      </c>
      <c r="G32" s="18"/>
      <c r="H32" s="28">
        <f>'[11]142'!F36</f>
        <v>1076636.75</v>
      </c>
      <c r="I32" s="28">
        <f>'[11]142'!F37</f>
        <v>1073394.6499999999</v>
      </c>
      <c r="J32" s="28">
        <f>'[11]142'!F38-'[11]142'!G38</f>
        <v>-72552.109999999986</v>
      </c>
      <c r="K32" s="28">
        <f t="shared" si="2"/>
        <v>2077479.29</v>
      </c>
      <c r="L32" s="18"/>
      <c r="M32" s="19">
        <f t="shared" si="1"/>
        <v>72552.10999999987</v>
      </c>
      <c r="N32" s="29" t="s">
        <v>23</v>
      </c>
      <c r="O32" s="30">
        <f t="shared" si="3"/>
        <v>0</v>
      </c>
      <c r="P32" s="30">
        <f t="shared" si="4"/>
        <v>0</v>
      </c>
      <c r="Q32" s="30">
        <f t="shared" si="5"/>
        <v>72552.109999999986</v>
      </c>
    </row>
    <row r="33" spans="1:17" x14ac:dyDescent="0.25">
      <c r="A33" s="35" t="s">
        <v>40</v>
      </c>
      <c r="B33" s="36"/>
      <c r="C33" s="26">
        <v>221479.11</v>
      </c>
      <c r="D33" s="27">
        <v>222770.09</v>
      </c>
      <c r="E33" s="27"/>
      <c r="F33" s="17">
        <f t="shared" si="0"/>
        <v>444249.19999999995</v>
      </c>
      <c r="G33" s="18"/>
      <c r="H33" s="28">
        <f>'[11]143'!F28</f>
        <v>221479.11</v>
      </c>
      <c r="I33" s="28">
        <f>'[11]143'!F29</f>
        <v>222770.09</v>
      </c>
      <c r="J33" s="28">
        <f>-'[11]143'!G30</f>
        <v>-21762.81</v>
      </c>
      <c r="K33" s="28">
        <f t="shared" si="2"/>
        <v>422486.38999999996</v>
      </c>
      <c r="L33" s="18"/>
      <c r="M33" s="19">
        <f t="shared" si="1"/>
        <v>21762.809999999998</v>
      </c>
      <c r="N33" s="29" t="s">
        <v>23</v>
      </c>
      <c r="O33" s="30">
        <f t="shared" si="3"/>
        <v>0</v>
      </c>
      <c r="P33" s="30">
        <f t="shared" si="4"/>
        <v>0</v>
      </c>
      <c r="Q33" s="30">
        <f t="shared" si="5"/>
        <v>21762.81</v>
      </c>
    </row>
    <row r="34" spans="1:17" x14ac:dyDescent="0.25">
      <c r="A34" s="35" t="s">
        <v>41</v>
      </c>
      <c r="B34" s="36"/>
      <c r="C34" s="26"/>
      <c r="D34" s="27"/>
      <c r="E34" s="27"/>
      <c r="F34" s="17">
        <f t="shared" si="0"/>
        <v>0</v>
      </c>
      <c r="G34" s="18"/>
      <c r="H34" s="28"/>
      <c r="I34" s="28"/>
      <c r="J34" s="28">
        <f>'[11]144'!F19</f>
        <v>605433.22</v>
      </c>
      <c r="K34" s="28">
        <f t="shared" si="2"/>
        <v>605433.22</v>
      </c>
      <c r="L34" s="18"/>
      <c r="M34" s="19">
        <f t="shared" si="1"/>
        <v>-605433.22</v>
      </c>
      <c r="N34" s="29" t="s">
        <v>42</v>
      </c>
      <c r="O34" s="30">
        <f t="shared" si="3"/>
        <v>0</v>
      </c>
      <c r="P34" s="30">
        <f t="shared" si="4"/>
        <v>0</v>
      </c>
      <c r="Q34" s="30">
        <f t="shared" si="5"/>
        <v>-605433.22</v>
      </c>
    </row>
    <row r="35" spans="1:17" x14ac:dyDescent="0.25">
      <c r="A35" s="102" t="s">
        <v>43</v>
      </c>
      <c r="B35" s="102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28">
        <f t="shared" si="2"/>
        <v>0</v>
      </c>
      <c r="L35" s="18"/>
      <c r="M35" s="19">
        <f t="shared" si="1"/>
        <v>0</v>
      </c>
      <c r="N35" s="3"/>
      <c r="O35" s="30">
        <f t="shared" si="3"/>
        <v>0</v>
      </c>
      <c r="P35" s="30">
        <f t="shared" si="4"/>
        <v>0</v>
      </c>
      <c r="Q35" s="30">
        <f t="shared" si="5"/>
        <v>0</v>
      </c>
    </row>
    <row r="36" spans="1:17" x14ac:dyDescent="0.25">
      <c r="A36" s="103" t="s">
        <v>44</v>
      </c>
      <c r="B36" s="103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28">
        <f t="shared" si="2"/>
        <v>0</v>
      </c>
      <c r="L36" s="18"/>
      <c r="M36" s="19">
        <f t="shared" si="1"/>
        <v>0</v>
      </c>
      <c r="N36" s="3"/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spans="1:17" x14ac:dyDescent="0.25">
      <c r="A37" s="103" t="s">
        <v>45</v>
      </c>
      <c r="B37" s="103"/>
      <c r="C37" s="26"/>
      <c r="D37" s="27"/>
      <c r="E37" s="27">
        <v>495102.65</v>
      </c>
      <c r="F37" s="17">
        <f t="shared" si="0"/>
        <v>495102.65</v>
      </c>
      <c r="G37" s="18"/>
      <c r="H37" s="28"/>
      <c r="I37" s="28"/>
      <c r="J37" s="28">
        <f>'[11]152'!G90+'[11]152'!G91</f>
        <v>8138860.8500000034</v>
      </c>
      <c r="K37" s="28">
        <f t="shared" si="2"/>
        <v>8138860.8500000034</v>
      </c>
      <c r="L37" s="18"/>
      <c r="M37" s="19">
        <f t="shared" si="1"/>
        <v>-7643758.200000003</v>
      </c>
      <c r="N37" s="29" t="s">
        <v>46</v>
      </c>
      <c r="O37" s="30">
        <f t="shared" si="3"/>
        <v>0</v>
      </c>
      <c r="P37" s="30">
        <f t="shared" si="4"/>
        <v>0</v>
      </c>
      <c r="Q37" s="30">
        <f t="shared" si="5"/>
        <v>-7643758.200000003</v>
      </c>
    </row>
    <row r="38" spans="1:17" x14ac:dyDescent="0.25">
      <c r="A38" s="103" t="s">
        <v>47</v>
      </c>
      <c r="B38" s="103"/>
      <c r="C38" s="26"/>
      <c r="D38" s="27"/>
      <c r="E38" s="27">
        <v>808665.31999999983</v>
      </c>
      <c r="F38" s="17">
        <f t="shared" si="0"/>
        <v>808665.31999999983</v>
      </c>
      <c r="G38" s="18"/>
      <c r="H38" s="28"/>
      <c r="I38" s="28"/>
      <c r="J38" s="28">
        <f>'[11]153'!G47</f>
        <v>808665.31999999983</v>
      </c>
      <c r="K38" s="28">
        <f t="shared" si="2"/>
        <v>808665.31999999983</v>
      </c>
      <c r="L38" s="18"/>
      <c r="M38" s="19">
        <f t="shared" si="1"/>
        <v>0</v>
      </c>
      <c r="N38" s="3"/>
      <c r="O38" s="30">
        <f t="shared" si="3"/>
        <v>0</v>
      </c>
      <c r="P38" s="30">
        <f t="shared" si="4"/>
        <v>0</v>
      </c>
      <c r="Q38" s="30">
        <f t="shared" si="5"/>
        <v>0</v>
      </c>
    </row>
    <row r="39" spans="1:17" x14ac:dyDescent="0.25">
      <c r="A39" s="103" t="s">
        <v>48</v>
      </c>
      <c r="B39" s="103"/>
      <c r="C39" s="26">
        <v>35431792.159999996</v>
      </c>
      <c r="D39" s="27">
        <v>35780456.590000004</v>
      </c>
      <c r="E39" s="27">
        <v>4000</v>
      </c>
      <c r="F39" s="17">
        <f t="shared" si="0"/>
        <v>71216248.75</v>
      </c>
      <c r="G39" s="18"/>
      <c r="H39" s="28">
        <f>'[11]154'!G85</f>
        <v>32267405.91</v>
      </c>
      <c r="I39" s="28">
        <f>'[11]154'!G86</f>
        <v>35780456.590000004</v>
      </c>
      <c r="J39" s="28">
        <f>'[11]154'!G87-'[11]154'!H88</f>
        <v>-1522259.8200000003</v>
      </c>
      <c r="K39" s="28">
        <f t="shared" si="2"/>
        <v>66525602.68</v>
      </c>
      <c r="L39" s="18"/>
      <c r="M39" s="19">
        <f t="shared" si="1"/>
        <v>4690646.07</v>
      </c>
      <c r="N39" s="29" t="s">
        <v>70</v>
      </c>
      <c r="O39" s="30">
        <f t="shared" si="3"/>
        <v>3164386.2499999963</v>
      </c>
      <c r="P39" s="30">
        <f t="shared" si="4"/>
        <v>0</v>
      </c>
      <c r="Q39" s="30">
        <f t="shared" si="5"/>
        <v>1526259.8200000003</v>
      </c>
    </row>
    <row r="40" spans="1:17" x14ac:dyDescent="0.25">
      <c r="A40" s="103" t="s">
        <v>49</v>
      </c>
      <c r="B40" s="103"/>
      <c r="C40" s="26"/>
      <c r="D40" s="27"/>
      <c r="E40" s="27"/>
      <c r="F40" s="17">
        <f t="shared" si="0"/>
        <v>0</v>
      </c>
      <c r="G40" s="18"/>
      <c r="H40" s="28"/>
      <c r="I40" s="28"/>
      <c r="J40" s="28"/>
      <c r="K40" s="28">
        <f t="shared" si="2"/>
        <v>0</v>
      </c>
      <c r="L40" s="18"/>
      <c r="M40" s="19">
        <f t="shared" si="1"/>
        <v>0</v>
      </c>
      <c r="N40" s="3"/>
      <c r="O40" s="30">
        <f t="shared" si="3"/>
        <v>0</v>
      </c>
      <c r="P40" s="30">
        <f t="shared" si="4"/>
        <v>0</v>
      </c>
      <c r="Q40" s="30">
        <f t="shared" si="5"/>
        <v>0</v>
      </c>
    </row>
    <row r="41" spans="1:17" x14ac:dyDescent="0.25">
      <c r="A41" s="103" t="s">
        <v>50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28">
        <f t="shared" si="2"/>
        <v>0</v>
      </c>
      <c r="L41" s="18"/>
      <c r="M41" s="19">
        <f t="shared" si="1"/>
        <v>0</v>
      </c>
      <c r="N41" s="3"/>
      <c r="O41" s="30">
        <f t="shared" si="3"/>
        <v>0</v>
      </c>
      <c r="P41" s="30">
        <f t="shared" si="4"/>
        <v>0</v>
      </c>
      <c r="Q41" s="30">
        <f t="shared" si="5"/>
        <v>0</v>
      </c>
    </row>
    <row r="42" spans="1:17" x14ac:dyDescent="0.25">
      <c r="A42" s="102" t="s">
        <v>51</v>
      </c>
      <c r="B42" s="102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28">
        <f t="shared" si="2"/>
        <v>0</v>
      </c>
      <c r="L42" s="18"/>
      <c r="M42" s="19">
        <f t="shared" si="1"/>
        <v>0</v>
      </c>
      <c r="N42" s="3"/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spans="1:17" x14ac:dyDescent="0.25">
      <c r="A43" s="103" t="s">
        <v>52</v>
      </c>
      <c r="B43" s="103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28">
        <f t="shared" si="2"/>
        <v>0</v>
      </c>
      <c r="L43" s="18"/>
      <c r="M43" s="19">
        <f t="shared" si="1"/>
        <v>0</v>
      </c>
      <c r="N43" s="3"/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spans="1:17" x14ac:dyDescent="0.25">
      <c r="A44" s="102" t="s">
        <v>53</v>
      </c>
      <c r="B44" s="102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28">
        <f t="shared" si="2"/>
        <v>0</v>
      </c>
      <c r="L44" s="18"/>
      <c r="M44" s="19">
        <f t="shared" si="1"/>
        <v>0</v>
      </c>
      <c r="N44" s="3"/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spans="1:17" x14ac:dyDescent="0.25">
      <c r="A45" s="103" t="s">
        <v>54</v>
      </c>
      <c r="B45" s="103"/>
      <c r="C45" s="37"/>
      <c r="D45" s="38"/>
      <c r="E45" s="38"/>
      <c r="F45" s="17">
        <f t="shared" si="0"/>
        <v>0</v>
      </c>
      <c r="G45" s="18"/>
      <c r="H45" s="28"/>
      <c r="I45" s="28"/>
      <c r="J45" s="28"/>
      <c r="K45" s="28">
        <f t="shared" si="2"/>
        <v>0</v>
      </c>
      <c r="L45" s="18"/>
      <c r="M45" s="19">
        <f t="shared" si="1"/>
        <v>0</v>
      </c>
      <c r="N45" s="3"/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spans="1:17" x14ac:dyDescent="0.25">
      <c r="A46" s="103" t="s">
        <v>55</v>
      </c>
      <c r="B46" s="103"/>
      <c r="C46" s="37"/>
      <c r="D46" s="38"/>
      <c r="E46" s="38"/>
      <c r="F46" s="17">
        <f t="shared" si="0"/>
        <v>0</v>
      </c>
      <c r="G46" s="24"/>
      <c r="H46" s="28"/>
      <c r="I46" s="28"/>
      <c r="J46" s="28"/>
      <c r="K46" s="28">
        <f t="shared" si="2"/>
        <v>0</v>
      </c>
      <c r="L46" s="24"/>
      <c r="M46" s="19">
        <f t="shared" si="1"/>
        <v>0</v>
      </c>
      <c r="N46" s="25"/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spans="1:17" x14ac:dyDescent="0.25">
      <c r="A47" s="105"/>
      <c r="B47" s="105"/>
      <c r="C47" s="22"/>
      <c r="D47" s="23"/>
      <c r="E47" s="23"/>
      <c r="F47" s="17"/>
      <c r="G47" s="24"/>
      <c r="H47" s="28"/>
      <c r="I47" s="28"/>
      <c r="J47" s="28"/>
      <c r="K47" s="28"/>
      <c r="L47" s="24"/>
      <c r="M47" s="19"/>
      <c r="N47" s="25"/>
    </row>
    <row r="48" spans="1:17" x14ac:dyDescent="0.25">
      <c r="A48" s="106" t="s">
        <v>56</v>
      </c>
      <c r="B48" s="106"/>
      <c r="C48" s="39">
        <f>SUM(C13:C47)</f>
        <v>68921536.519999996</v>
      </c>
      <c r="D48" s="40">
        <f>SUM(D13:D47)</f>
        <v>69698771.099999994</v>
      </c>
      <c r="E48" s="40">
        <f>SUM(E13:E47)</f>
        <v>1485010.3599999999</v>
      </c>
      <c r="F48" s="40">
        <f>SUM(F13:F47)</f>
        <v>140105317.98000002</v>
      </c>
      <c r="G48" s="18"/>
      <c r="H48" s="40">
        <f>SUM(H13:H47)</f>
        <v>65757150.269999996</v>
      </c>
      <c r="I48" s="40">
        <f>SUM(I13:I47)</f>
        <v>69698771.099999994</v>
      </c>
      <c r="J48" s="40">
        <f>SUM(J13:J47)</f>
        <v>6520879.910000002</v>
      </c>
      <c r="K48" s="40">
        <f>SUM(K13:K47)</f>
        <v>141976801.28</v>
      </c>
      <c r="L48" s="18"/>
      <c r="M48" s="57">
        <f>F48-K48</f>
        <v>-1871483.2999999821</v>
      </c>
      <c r="N48" s="3"/>
    </row>
    <row r="49" spans="1:14" x14ac:dyDescent="0.25">
      <c r="A49" s="42"/>
      <c r="B49" s="14"/>
      <c r="C49" s="43"/>
      <c r="D49" s="43"/>
      <c r="E49" s="43"/>
      <c r="F49" s="43"/>
      <c r="G49" s="14"/>
      <c r="H49" s="14"/>
      <c r="I49" s="14"/>
      <c r="J49" s="43"/>
      <c r="K49" s="14"/>
      <c r="L49" s="14"/>
      <c r="M49" s="14"/>
      <c r="N49" s="3"/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8"/>
      <c r="L50" s="14"/>
      <c r="M50" s="14"/>
      <c r="N50" s="3"/>
    </row>
    <row r="51" spans="1:14" x14ac:dyDescent="0.25">
      <c r="A51" s="15" t="s">
        <v>57</v>
      </c>
      <c r="B51" s="20"/>
      <c r="C51" s="44" t="s">
        <v>58</v>
      </c>
      <c r="D51" s="43"/>
      <c r="E51" s="43"/>
      <c r="F51" s="43"/>
      <c r="G51" s="14"/>
      <c r="H51" s="14"/>
      <c r="I51" s="14"/>
      <c r="J51" s="43"/>
      <c r="K51" s="18"/>
      <c r="L51" s="14"/>
      <c r="M51" s="14"/>
      <c r="N51" s="3"/>
    </row>
    <row r="52" spans="1:14" x14ac:dyDescent="0.25">
      <c r="A52" s="103" t="s">
        <v>59</v>
      </c>
      <c r="B52" s="103"/>
      <c r="C52" s="45">
        <f>'[11]113'!K147+'[11]121'!G48+'[11]131'!H55+'[11]134'!G51+'[11]141'!K47+'[11]142'!J38+'[11]143'!G30+'[11]154'!H88</f>
        <v>3213321.8700000006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"/>
    </row>
    <row r="53" spans="1:14" x14ac:dyDescent="0.25">
      <c r="A53" s="33" t="s">
        <v>60</v>
      </c>
      <c r="B53" s="46"/>
      <c r="C53" s="45">
        <f>-'[11]144'!F19</f>
        <v>-605433.22</v>
      </c>
      <c r="D53" s="18"/>
      <c r="E53" s="14"/>
      <c r="F53" s="14"/>
      <c r="G53" s="14"/>
      <c r="H53" s="14"/>
      <c r="I53" s="14"/>
      <c r="J53" s="14"/>
      <c r="K53" s="14"/>
      <c r="L53" s="14"/>
      <c r="M53" s="18"/>
      <c r="N53" s="3"/>
    </row>
    <row r="54" spans="1:14" x14ac:dyDescent="0.25">
      <c r="A54" s="47" t="s">
        <v>61</v>
      </c>
      <c r="B54" s="48"/>
      <c r="C54" s="45">
        <f>-'[11]152'!G91</f>
        <v>-7643758.200000003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3"/>
    </row>
    <row r="55" spans="1:14" x14ac:dyDescent="0.25">
      <c r="A55" s="102" t="s">
        <v>69</v>
      </c>
      <c r="B55" s="102"/>
      <c r="C55" s="45">
        <f>'[11]154'!L85</f>
        <v>3164386.2499999963</v>
      </c>
      <c r="D55" s="49"/>
      <c r="E55" s="14"/>
      <c r="F55" s="14"/>
      <c r="G55" s="14"/>
      <c r="H55" s="14"/>
      <c r="I55" s="14"/>
      <c r="J55" s="14"/>
      <c r="K55" s="14"/>
      <c r="L55" s="14"/>
      <c r="M55" s="18"/>
      <c r="N55" s="3"/>
    </row>
    <row r="56" spans="1:14" x14ac:dyDescent="0.25">
      <c r="A56" s="50"/>
      <c r="B56" s="50"/>
      <c r="C56" s="43"/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3"/>
    </row>
    <row r="57" spans="1:14" x14ac:dyDescent="0.25">
      <c r="B57" s="3"/>
      <c r="C57" s="4"/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32"/>
    </row>
    <row r="58" spans="1:14" ht="15.75" thickBot="1" x14ac:dyDescent="0.3">
      <c r="B58" s="3"/>
      <c r="C58" s="4"/>
      <c r="D58" s="107"/>
      <c r="E58" s="107"/>
      <c r="F58" s="52"/>
      <c r="G58" s="3"/>
      <c r="H58" s="111"/>
      <c r="I58" s="111"/>
      <c r="J58" s="25"/>
      <c r="K58" s="112"/>
      <c r="L58" s="112"/>
      <c r="M58" s="112"/>
      <c r="N58" s="32"/>
    </row>
    <row r="59" spans="1:14" x14ac:dyDescent="0.25">
      <c r="A59" s="53" t="s">
        <v>62</v>
      </c>
      <c r="B59" s="3"/>
      <c r="C59" s="113" t="s">
        <v>63</v>
      </c>
      <c r="D59" s="113"/>
      <c r="E59" s="52"/>
      <c r="F59" s="52"/>
      <c r="G59" s="3"/>
      <c r="H59" s="113" t="s">
        <v>62</v>
      </c>
      <c r="I59" s="113"/>
      <c r="J59" s="54"/>
      <c r="K59" s="113" t="s">
        <v>63</v>
      </c>
      <c r="L59" s="113"/>
      <c r="M59" s="113"/>
      <c r="N59" s="32"/>
    </row>
    <row r="60" spans="1:14" x14ac:dyDescent="0.25">
      <c r="A60" s="55" t="s">
        <v>64</v>
      </c>
      <c r="B60" s="3"/>
      <c r="C60" s="108" t="s">
        <v>65</v>
      </c>
      <c r="D60" s="108"/>
      <c r="E60" s="4"/>
      <c r="F60" s="4"/>
      <c r="G60" s="3"/>
      <c r="H60" s="109" t="s">
        <v>66</v>
      </c>
      <c r="I60" s="109"/>
      <c r="J60" s="4"/>
      <c r="K60" s="109" t="s">
        <v>67</v>
      </c>
      <c r="L60" s="109"/>
      <c r="M60" s="109"/>
      <c r="N60" s="32"/>
    </row>
    <row r="61" spans="1:14" x14ac:dyDescent="0.25">
      <c r="B61" s="3"/>
      <c r="C61" s="4"/>
      <c r="D61" s="4"/>
      <c r="E61" s="4"/>
      <c r="F61" s="4"/>
      <c r="G61" s="3"/>
      <c r="H61" s="3"/>
      <c r="I61" s="3"/>
      <c r="J61" s="4"/>
      <c r="K61" s="3"/>
      <c r="L61" s="3"/>
      <c r="M61" s="32"/>
      <c r="N61" s="32"/>
    </row>
    <row r="62" spans="1:14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3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</row>
    <row r="64" spans="1:14" ht="15" customHeight="1" x14ac:dyDescent="0.25">
      <c r="A64" s="110" t="s">
        <v>68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32"/>
    </row>
    <row r="65" spans="2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32"/>
    </row>
    <row r="66" spans="2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32"/>
    </row>
    <row r="67" spans="2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</row>
  </sheetData>
  <mergeCells count="58">
    <mergeCell ref="H57:J57"/>
    <mergeCell ref="D58:E58"/>
    <mergeCell ref="H58:I58"/>
    <mergeCell ref="A64:M64"/>
    <mergeCell ref="K58:M58"/>
    <mergeCell ref="C59:D59"/>
    <mergeCell ref="H59:I59"/>
    <mergeCell ref="K59:M59"/>
    <mergeCell ref="C60:D60"/>
    <mergeCell ref="H60:I60"/>
    <mergeCell ref="K60:M60"/>
    <mergeCell ref="A47:B47"/>
    <mergeCell ref="A48:B48"/>
    <mergeCell ref="A52:B52"/>
    <mergeCell ref="A55:B55"/>
    <mergeCell ref="D57:E57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28:B28"/>
    <mergeCell ref="A29:B29"/>
    <mergeCell ref="A30:B30"/>
    <mergeCell ref="A35:B35"/>
    <mergeCell ref="A36:B36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0:B10"/>
    <mergeCell ref="C10:E10"/>
    <mergeCell ref="H10:J10"/>
    <mergeCell ref="A11:B11"/>
    <mergeCell ref="A12:B12"/>
    <mergeCell ref="A1:M1"/>
    <mergeCell ref="B2:M2"/>
    <mergeCell ref="A3:M3"/>
    <mergeCell ref="A6:B6"/>
    <mergeCell ref="A8:B9"/>
    <mergeCell ref="C9:F9"/>
    <mergeCell ref="H9:K9"/>
  </mergeCells>
  <pageMargins left="0.19685039370078741" right="0.19685039370078741" top="0.74803149606299213" bottom="0.74803149606299213" header="0.31496062992125984" footer="0.31496062992125984"/>
  <pageSetup scale="5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58B0-ED3D-4BE8-BAB4-EF3664ACB96A}">
  <dimension ref="A1:Q67"/>
  <sheetViews>
    <sheetView zoomScale="87" zoomScaleNormal="87" workbookViewId="0">
      <selection activeCell="A64" sqref="A64:M64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7" customWidth="1"/>
    <col min="17" max="17" width="18" customWidth="1"/>
  </cols>
  <sheetData>
    <row r="1" spans="1:14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</row>
    <row r="2" spans="1:14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</row>
    <row r="3" spans="1:14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14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</row>
    <row r="5" spans="1:14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</row>
    <row r="6" spans="1:14" ht="15" customHeight="1" x14ac:dyDescent="0.25">
      <c r="A6" s="90" t="s">
        <v>3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</row>
    <row r="7" spans="1:14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</row>
    <row r="8" spans="1:14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</row>
    <row r="9" spans="1:14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3"/>
    </row>
    <row r="10" spans="1:14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</row>
    <row r="11" spans="1:14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</row>
    <row r="12" spans="1:14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</row>
    <row r="13" spans="1:14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3"/>
    </row>
    <row r="14" spans="1:14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>SUM(H14:I14)</f>
        <v>0</v>
      </c>
      <c r="L14" s="18"/>
      <c r="M14" s="19">
        <f t="shared" ref="M14:M49" si="1">F14-K14</f>
        <v>0</v>
      </c>
      <c r="N14" s="3"/>
    </row>
    <row r="15" spans="1:14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>SUM(H15:I15)</f>
        <v>0</v>
      </c>
      <c r="L15" s="18"/>
      <c r="M15" s="19">
        <f t="shared" si="1"/>
        <v>0</v>
      </c>
      <c r="N15" s="3"/>
    </row>
    <row r="16" spans="1:14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>SUM(H16:I16)</f>
        <v>0</v>
      </c>
      <c r="L16" s="24"/>
      <c r="M16" s="19">
        <f t="shared" si="1"/>
        <v>0</v>
      </c>
      <c r="N16" s="25"/>
    </row>
    <row r="17" spans="1:17" x14ac:dyDescent="0.25">
      <c r="A17" s="103" t="s">
        <v>22</v>
      </c>
      <c r="B17" s="103"/>
      <c r="C17" s="26">
        <v>21436332.759999998</v>
      </c>
      <c r="D17" s="27">
        <v>20931452.719999999</v>
      </c>
      <c r="E17" s="27">
        <v>33041.9</v>
      </c>
      <c r="F17" s="17">
        <f t="shared" si="0"/>
        <v>42400827.379999995</v>
      </c>
      <c r="G17" s="18"/>
      <c r="H17" s="28">
        <f>'[12]113'!G133</f>
        <v>21436332.760000002</v>
      </c>
      <c r="I17" s="28">
        <f>'[12]113'!G134</f>
        <v>20931452.719999999</v>
      </c>
      <c r="J17" s="28">
        <f>'[12]113'!G135-'[12]113'!H136</f>
        <v>-74678</v>
      </c>
      <c r="K17" s="28">
        <f t="shared" ref="K17:K47" si="2">SUM(H17:J17)</f>
        <v>42293107.480000004</v>
      </c>
      <c r="L17" s="18"/>
      <c r="M17" s="19">
        <f t="shared" si="1"/>
        <v>107719.89999999106</v>
      </c>
      <c r="N17" s="29" t="s">
        <v>23</v>
      </c>
      <c r="O17" s="30">
        <f>H17-C17</f>
        <v>0</v>
      </c>
      <c r="P17" s="30">
        <f>D17-I17</f>
        <v>0</v>
      </c>
      <c r="Q17" s="30">
        <f>E17-J17</f>
        <v>107719.9</v>
      </c>
    </row>
    <row r="18" spans="1:17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28">
        <f t="shared" si="2"/>
        <v>0</v>
      </c>
      <c r="L18" s="18"/>
      <c r="M18" s="19">
        <f t="shared" si="1"/>
        <v>0</v>
      </c>
      <c r="N18" s="3"/>
      <c r="O18" s="30">
        <f t="shared" ref="O18:O47" si="3">H18-C18</f>
        <v>0</v>
      </c>
      <c r="P18" s="30">
        <f t="shared" ref="P18:Q47" si="4">D18-I18</f>
        <v>0</v>
      </c>
      <c r="Q18" s="30">
        <f t="shared" si="4"/>
        <v>0</v>
      </c>
    </row>
    <row r="19" spans="1:17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28">
        <f t="shared" si="2"/>
        <v>0</v>
      </c>
      <c r="L19" s="18"/>
      <c r="M19" s="19">
        <f t="shared" si="1"/>
        <v>0</v>
      </c>
      <c r="N19" s="3"/>
      <c r="O19" s="30">
        <f t="shared" si="3"/>
        <v>0</v>
      </c>
      <c r="P19" s="30">
        <f t="shared" si="4"/>
        <v>0</v>
      </c>
      <c r="Q19" s="30">
        <f t="shared" si="4"/>
        <v>0</v>
      </c>
    </row>
    <row r="20" spans="1:17" x14ac:dyDescent="0.25">
      <c r="A20" s="103" t="s">
        <v>26</v>
      </c>
      <c r="B20" s="103"/>
      <c r="C20" s="26">
        <v>3636168.56</v>
      </c>
      <c r="D20" s="31">
        <v>4746644.2200000007</v>
      </c>
      <c r="E20" s="27">
        <v>928854.15999999992</v>
      </c>
      <c r="F20" s="17">
        <f t="shared" si="0"/>
        <v>9311666.9400000013</v>
      </c>
      <c r="G20" s="18"/>
      <c r="H20" s="28">
        <f>'[12]121'!F49</f>
        <v>3636168.56</v>
      </c>
      <c r="I20" s="28">
        <f>'[12]121'!F50</f>
        <v>4746644.2200000007</v>
      </c>
      <c r="J20" s="28">
        <f>'[12]121'!F51</f>
        <v>928854.15999999992</v>
      </c>
      <c r="K20" s="28">
        <f t="shared" si="2"/>
        <v>9311666.9400000013</v>
      </c>
      <c r="L20" s="18"/>
      <c r="M20" s="19">
        <f t="shared" si="1"/>
        <v>0</v>
      </c>
      <c r="N20" s="32"/>
      <c r="O20" s="30">
        <f t="shared" si="3"/>
        <v>0</v>
      </c>
      <c r="P20" s="30">
        <f t="shared" si="4"/>
        <v>0</v>
      </c>
      <c r="Q20" s="30">
        <f t="shared" si="4"/>
        <v>0</v>
      </c>
    </row>
    <row r="21" spans="1:17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28">
        <f t="shared" si="2"/>
        <v>0</v>
      </c>
      <c r="L21" s="24"/>
      <c r="M21" s="19">
        <f t="shared" si="1"/>
        <v>0</v>
      </c>
      <c r="N21" s="25"/>
      <c r="O21" s="30">
        <f t="shared" si="3"/>
        <v>0</v>
      </c>
      <c r="P21" s="30">
        <f t="shared" si="4"/>
        <v>0</v>
      </c>
      <c r="Q21" s="30">
        <f t="shared" si="4"/>
        <v>0</v>
      </c>
    </row>
    <row r="22" spans="1:17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28">
        <f t="shared" si="2"/>
        <v>0</v>
      </c>
      <c r="L22" s="18"/>
      <c r="M22" s="19">
        <f t="shared" si="1"/>
        <v>0</v>
      </c>
      <c r="N22" s="3"/>
      <c r="O22" s="30">
        <f t="shared" si="3"/>
        <v>0</v>
      </c>
      <c r="P22" s="30">
        <f t="shared" si="4"/>
        <v>0</v>
      </c>
      <c r="Q22" s="30">
        <f t="shared" si="4"/>
        <v>0</v>
      </c>
    </row>
    <row r="23" spans="1:17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28">
        <f t="shared" si="2"/>
        <v>0</v>
      </c>
      <c r="L23" s="18"/>
      <c r="M23" s="19">
        <f t="shared" si="1"/>
        <v>0</v>
      </c>
      <c r="N23" s="3"/>
      <c r="O23" s="30">
        <f t="shared" si="3"/>
        <v>0</v>
      </c>
      <c r="P23" s="30">
        <f t="shared" si="4"/>
        <v>0</v>
      </c>
      <c r="Q23" s="30">
        <f t="shared" si="4"/>
        <v>0</v>
      </c>
    </row>
    <row r="24" spans="1:17" x14ac:dyDescent="0.25">
      <c r="A24" s="103" t="s">
        <v>30</v>
      </c>
      <c r="B24" s="103"/>
      <c r="C24" s="26">
        <v>2760636.7699999996</v>
      </c>
      <c r="D24" s="27">
        <v>2721649.76</v>
      </c>
      <c r="E24" s="27">
        <v>0</v>
      </c>
      <c r="F24" s="17">
        <f t="shared" si="0"/>
        <v>5482286.5299999993</v>
      </c>
      <c r="G24" s="24"/>
      <c r="H24" s="28">
        <f>'[12]131'!G49</f>
        <v>2760636.77</v>
      </c>
      <c r="I24" s="28">
        <f>'[12]131'!G50</f>
        <v>2721649.76</v>
      </c>
      <c r="J24" s="28">
        <f>-'[12]131'!H51</f>
        <v>-17923</v>
      </c>
      <c r="K24" s="28">
        <f t="shared" si="2"/>
        <v>5464363.5299999993</v>
      </c>
      <c r="L24" s="24"/>
      <c r="M24" s="19">
        <f t="shared" si="1"/>
        <v>17923</v>
      </c>
      <c r="N24" s="29" t="s">
        <v>23</v>
      </c>
      <c r="O24" s="30">
        <f t="shared" si="3"/>
        <v>0</v>
      </c>
      <c r="P24" s="30">
        <f t="shared" si="4"/>
        <v>0</v>
      </c>
      <c r="Q24" s="30">
        <f t="shared" si="4"/>
        <v>17923</v>
      </c>
    </row>
    <row r="25" spans="1:17" x14ac:dyDescent="0.25">
      <c r="A25" s="103" t="s">
        <v>31</v>
      </c>
      <c r="B25" s="103"/>
      <c r="C25" s="26"/>
      <c r="D25" s="27"/>
      <c r="E25" s="27">
        <v>139049.94</v>
      </c>
      <c r="F25" s="17">
        <f t="shared" si="0"/>
        <v>139049.94</v>
      </c>
      <c r="G25" s="18"/>
      <c r="H25" s="28"/>
      <c r="I25" s="28"/>
      <c r="J25" s="28">
        <f>'[12]132'!G56</f>
        <v>139049.93999999997</v>
      </c>
      <c r="K25" s="28">
        <f t="shared" si="2"/>
        <v>139049.93999999997</v>
      </c>
      <c r="L25" s="18"/>
      <c r="M25" s="19">
        <f t="shared" si="1"/>
        <v>0</v>
      </c>
      <c r="N25" s="3"/>
      <c r="O25" s="30">
        <f t="shared" si="3"/>
        <v>0</v>
      </c>
      <c r="P25" s="30">
        <f t="shared" si="4"/>
        <v>0</v>
      </c>
      <c r="Q25" s="30">
        <f t="shared" si="4"/>
        <v>0</v>
      </c>
    </row>
    <row r="26" spans="1:17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28">
        <f t="shared" si="2"/>
        <v>0</v>
      </c>
      <c r="L26" s="18"/>
      <c r="M26" s="19">
        <f t="shared" si="1"/>
        <v>0</v>
      </c>
      <c r="N26" s="3"/>
      <c r="O26" s="30">
        <f t="shared" si="3"/>
        <v>0</v>
      </c>
      <c r="P26" s="30">
        <f t="shared" si="4"/>
        <v>0</v>
      </c>
      <c r="Q26" s="30">
        <f t="shared" si="4"/>
        <v>0</v>
      </c>
    </row>
    <row r="27" spans="1:17" x14ac:dyDescent="0.25">
      <c r="A27" s="103" t="s">
        <v>33</v>
      </c>
      <c r="B27" s="103"/>
      <c r="C27" s="26">
        <v>529506.08000000007</v>
      </c>
      <c r="D27" s="27">
        <v>496963.74</v>
      </c>
      <c r="E27" s="27">
        <v>0</v>
      </c>
      <c r="F27" s="17">
        <f t="shared" si="0"/>
        <v>1026469.8200000001</v>
      </c>
      <c r="G27" s="18"/>
      <c r="H27" s="28">
        <f>'[12]134'!F48</f>
        <v>529506.08000000007</v>
      </c>
      <c r="I27" s="28">
        <f>'[12]134'!F49</f>
        <v>496963.74</v>
      </c>
      <c r="J27" s="28"/>
      <c r="K27" s="28">
        <f t="shared" si="2"/>
        <v>1026469.8200000001</v>
      </c>
      <c r="L27" s="18"/>
      <c r="M27" s="19">
        <f t="shared" si="1"/>
        <v>0</v>
      </c>
      <c r="N27" s="32"/>
      <c r="O27" s="30">
        <f t="shared" si="3"/>
        <v>0</v>
      </c>
      <c r="P27" s="30">
        <f t="shared" si="4"/>
        <v>0</v>
      </c>
      <c r="Q27" s="30">
        <f t="shared" si="4"/>
        <v>0</v>
      </c>
    </row>
    <row r="28" spans="1:17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28">
        <f t="shared" si="2"/>
        <v>0</v>
      </c>
      <c r="L28" s="18"/>
      <c r="M28" s="19">
        <f t="shared" si="1"/>
        <v>0</v>
      </c>
      <c r="N28" s="3"/>
      <c r="O28" s="30">
        <f t="shared" si="3"/>
        <v>0</v>
      </c>
      <c r="P28" s="30">
        <f t="shared" si="4"/>
        <v>0</v>
      </c>
      <c r="Q28" s="30">
        <f t="shared" si="4"/>
        <v>0</v>
      </c>
    </row>
    <row r="29" spans="1:17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28">
        <f t="shared" si="2"/>
        <v>0</v>
      </c>
      <c r="L29" s="18"/>
      <c r="M29" s="19">
        <f t="shared" si="1"/>
        <v>0</v>
      </c>
      <c r="N29" s="3"/>
      <c r="O29" s="30">
        <f t="shared" si="3"/>
        <v>0</v>
      </c>
      <c r="P29" s="30">
        <f t="shared" si="4"/>
        <v>0</v>
      </c>
      <c r="Q29" s="30">
        <f t="shared" si="4"/>
        <v>0</v>
      </c>
    </row>
    <row r="30" spans="1:17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28">
        <f t="shared" si="2"/>
        <v>0</v>
      </c>
      <c r="L30" s="18"/>
      <c r="M30" s="19">
        <f t="shared" si="1"/>
        <v>0</v>
      </c>
      <c r="N30" s="3"/>
      <c r="O30" s="30">
        <f t="shared" si="3"/>
        <v>0</v>
      </c>
      <c r="P30" s="30">
        <f t="shared" si="4"/>
        <v>0</v>
      </c>
      <c r="Q30" s="30">
        <f t="shared" si="4"/>
        <v>0</v>
      </c>
    </row>
    <row r="31" spans="1:17" x14ac:dyDescent="0.25">
      <c r="A31" s="102" t="s">
        <v>37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28">
        <f t="shared" si="2"/>
        <v>0</v>
      </c>
      <c r="L31" s="18"/>
      <c r="M31" s="19">
        <f t="shared" si="1"/>
        <v>0</v>
      </c>
      <c r="N31" s="3"/>
      <c r="O31" s="30">
        <f t="shared" si="3"/>
        <v>0</v>
      </c>
      <c r="P31" s="30">
        <f t="shared" si="4"/>
        <v>0</v>
      </c>
      <c r="Q31" s="30">
        <f t="shared" si="4"/>
        <v>0</v>
      </c>
    </row>
    <row r="32" spans="1:17" x14ac:dyDescent="0.25">
      <c r="A32" s="33" t="s">
        <v>38</v>
      </c>
      <c r="B32" s="34"/>
      <c r="C32" s="26">
        <v>3325219.17</v>
      </c>
      <c r="D32" s="27">
        <v>3244131.17</v>
      </c>
      <c r="E32" s="27"/>
      <c r="F32" s="17">
        <f t="shared" si="0"/>
        <v>6569350.3399999999</v>
      </c>
      <c r="G32" s="18"/>
      <c r="H32" s="28">
        <f>'[12]141'!F31</f>
        <v>3325219.17</v>
      </c>
      <c r="I32" s="28">
        <f>'[12]141'!F32</f>
        <v>3244131.17</v>
      </c>
      <c r="J32" s="28">
        <f>-'[12]141'!G34</f>
        <v>-16314.16</v>
      </c>
      <c r="K32" s="28">
        <f t="shared" si="2"/>
        <v>6553036.1799999997</v>
      </c>
      <c r="L32" s="18"/>
      <c r="M32" s="19">
        <f t="shared" si="1"/>
        <v>16314.160000000149</v>
      </c>
      <c r="N32" s="29" t="s">
        <v>23</v>
      </c>
      <c r="O32" s="30">
        <f t="shared" si="3"/>
        <v>0</v>
      </c>
      <c r="P32" s="30">
        <f t="shared" si="4"/>
        <v>0</v>
      </c>
      <c r="Q32" s="30">
        <f t="shared" si="4"/>
        <v>16314.16</v>
      </c>
    </row>
    <row r="33" spans="1:17" x14ac:dyDescent="0.25">
      <c r="A33" s="33" t="s">
        <v>39</v>
      </c>
      <c r="B33" s="34"/>
      <c r="C33" s="26">
        <v>1097807.79</v>
      </c>
      <c r="D33" s="27">
        <v>1071036.67</v>
      </c>
      <c r="E33" s="27"/>
      <c r="F33" s="17">
        <f t="shared" si="0"/>
        <v>2168844.46</v>
      </c>
      <c r="G33" s="18"/>
      <c r="H33" s="28">
        <f>'[12]142'!F27</f>
        <v>1097807.79</v>
      </c>
      <c r="I33" s="28">
        <f>'[12]142'!F28</f>
        <v>1071036.67</v>
      </c>
      <c r="J33" s="28">
        <f>-'[12]142'!G30</f>
        <v>-5385.9999999999991</v>
      </c>
      <c r="K33" s="28">
        <f t="shared" si="2"/>
        <v>2163458.46</v>
      </c>
      <c r="L33" s="18"/>
      <c r="M33" s="19">
        <f t="shared" si="1"/>
        <v>5386</v>
      </c>
      <c r="N33" s="29" t="s">
        <v>23</v>
      </c>
      <c r="O33" s="30">
        <f t="shared" si="3"/>
        <v>0</v>
      </c>
      <c r="P33" s="30">
        <f t="shared" si="4"/>
        <v>0</v>
      </c>
      <c r="Q33" s="30">
        <f t="shared" si="4"/>
        <v>5385.9999999999991</v>
      </c>
    </row>
    <row r="34" spans="1:17" x14ac:dyDescent="0.25">
      <c r="A34" s="35" t="s">
        <v>40</v>
      </c>
      <c r="B34" s="36"/>
      <c r="C34" s="26">
        <v>223283.71</v>
      </c>
      <c r="D34" s="27">
        <v>221029.91</v>
      </c>
      <c r="E34" s="27"/>
      <c r="F34" s="17">
        <f t="shared" si="0"/>
        <v>444313.62</v>
      </c>
      <c r="G34" s="18"/>
      <c r="H34" s="28">
        <f>'[12]143'!F22</f>
        <v>223283.71</v>
      </c>
      <c r="I34" s="28">
        <f>'[12]143'!F23</f>
        <v>221029.91</v>
      </c>
      <c r="J34" s="28">
        <f>-'[12]143'!G25</f>
        <v>-3060</v>
      </c>
      <c r="K34" s="28">
        <f t="shared" si="2"/>
        <v>441253.62</v>
      </c>
      <c r="L34" s="18"/>
      <c r="M34" s="19">
        <f t="shared" si="1"/>
        <v>3060</v>
      </c>
      <c r="N34" s="29" t="s">
        <v>23</v>
      </c>
      <c r="O34" s="30">
        <f t="shared" si="3"/>
        <v>0</v>
      </c>
      <c r="P34" s="30">
        <f t="shared" si="4"/>
        <v>0</v>
      </c>
      <c r="Q34" s="30">
        <f t="shared" si="4"/>
        <v>3060</v>
      </c>
    </row>
    <row r="35" spans="1:17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>
        <f>'[12]144'!F22</f>
        <v>605433.22</v>
      </c>
      <c r="K35" s="28">
        <f t="shared" si="2"/>
        <v>605433.22</v>
      </c>
      <c r="L35" s="18"/>
      <c r="M35" s="19">
        <f t="shared" si="1"/>
        <v>-605433.22</v>
      </c>
      <c r="N35" s="29" t="s">
        <v>42</v>
      </c>
      <c r="O35" s="30">
        <f t="shared" si="3"/>
        <v>0</v>
      </c>
      <c r="P35" s="30">
        <f t="shared" si="4"/>
        <v>0</v>
      </c>
      <c r="Q35" s="30">
        <f t="shared" si="4"/>
        <v>-605433.22</v>
      </c>
    </row>
    <row r="36" spans="1:17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28">
        <f t="shared" si="2"/>
        <v>0</v>
      </c>
      <c r="L36" s="18"/>
      <c r="M36" s="19">
        <f t="shared" si="1"/>
        <v>0</v>
      </c>
      <c r="N36" s="3"/>
      <c r="O36" s="30">
        <f t="shared" si="3"/>
        <v>0</v>
      </c>
      <c r="P36" s="30">
        <f t="shared" si="4"/>
        <v>0</v>
      </c>
      <c r="Q36" s="30">
        <f t="shared" si="4"/>
        <v>0</v>
      </c>
    </row>
    <row r="37" spans="1:17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28">
        <f t="shared" si="2"/>
        <v>0</v>
      </c>
      <c r="L37" s="18"/>
      <c r="M37" s="19">
        <f t="shared" si="1"/>
        <v>0</v>
      </c>
      <c r="N37" s="3"/>
      <c r="O37" s="30">
        <f t="shared" si="3"/>
        <v>0</v>
      </c>
      <c r="P37" s="30">
        <f t="shared" si="4"/>
        <v>0</v>
      </c>
      <c r="Q37" s="30">
        <f t="shared" si="4"/>
        <v>0</v>
      </c>
    </row>
    <row r="38" spans="1:17" x14ac:dyDescent="0.25">
      <c r="A38" s="103" t="s">
        <v>45</v>
      </c>
      <c r="B38" s="103"/>
      <c r="C38" s="26"/>
      <c r="D38" s="27"/>
      <c r="E38" s="27">
        <v>495102.65</v>
      </c>
      <c r="F38" s="17">
        <f t="shared" si="0"/>
        <v>495102.65</v>
      </c>
      <c r="G38" s="18"/>
      <c r="H38" s="28"/>
      <c r="I38" s="28"/>
      <c r="J38" s="28">
        <f>'[12]152'!G56+'[12]152'!G57</f>
        <v>3451394.88</v>
      </c>
      <c r="K38" s="28">
        <f t="shared" si="2"/>
        <v>3451394.88</v>
      </c>
      <c r="L38" s="18"/>
      <c r="M38" s="19">
        <f t="shared" si="1"/>
        <v>-2956292.23</v>
      </c>
      <c r="N38" s="29" t="s">
        <v>46</v>
      </c>
      <c r="O38" s="30">
        <f t="shared" si="3"/>
        <v>0</v>
      </c>
      <c r="P38" s="30">
        <f t="shared" si="4"/>
        <v>0</v>
      </c>
      <c r="Q38" s="30">
        <f t="shared" si="4"/>
        <v>-2956292.23</v>
      </c>
    </row>
    <row r="39" spans="1:17" x14ac:dyDescent="0.25">
      <c r="A39" s="103" t="s">
        <v>47</v>
      </c>
      <c r="B39" s="103"/>
      <c r="C39" s="26"/>
      <c r="D39" s="27"/>
      <c r="E39" s="27">
        <v>268930.48</v>
      </c>
      <c r="F39" s="17">
        <f t="shared" si="0"/>
        <v>268930.48</v>
      </c>
      <c r="G39" s="18"/>
      <c r="H39" s="28"/>
      <c r="I39" s="28"/>
      <c r="J39" s="28">
        <f>'[12]153'!F32</f>
        <v>268930.48000000004</v>
      </c>
      <c r="K39" s="28">
        <f t="shared" si="2"/>
        <v>268930.48000000004</v>
      </c>
      <c r="L39" s="18"/>
      <c r="M39" s="19">
        <f t="shared" si="1"/>
        <v>0</v>
      </c>
      <c r="N39" s="3"/>
      <c r="O39" s="30">
        <f t="shared" si="3"/>
        <v>0</v>
      </c>
      <c r="P39" s="30">
        <f t="shared" si="4"/>
        <v>0</v>
      </c>
      <c r="Q39" s="30">
        <f t="shared" si="4"/>
        <v>0</v>
      </c>
    </row>
    <row r="40" spans="1:17" x14ac:dyDescent="0.25">
      <c r="A40" s="103" t="s">
        <v>48</v>
      </c>
      <c r="B40" s="103"/>
      <c r="C40" s="26">
        <v>37599860.520000003</v>
      </c>
      <c r="D40" s="27">
        <v>35322088.43</v>
      </c>
      <c r="E40" s="27">
        <v>6000</v>
      </c>
      <c r="F40" s="17">
        <f t="shared" si="0"/>
        <v>72927948.950000003</v>
      </c>
      <c r="G40" s="18"/>
      <c r="H40" s="28">
        <f>'[12]154'!G88</f>
        <v>37599860.519999996</v>
      </c>
      <c r="I40" s="28">
        <f>'[12]154'!G89</f>
        <v>35322088.430000007</v>
      </c>
      <c r="J40" s="28">
        <f>'[12]154'!G90-'[12]154'!H92</f>
        <v>-133383.04000000001</v>
      </c>
      <c r="K40" s="28">
        <f t="shared" si="2"/>
        <v>72788565.909999996</v>
      </c>
      <c r="L40" s="18"/>
      <c r="M40" s="19">
        <f t="shared" si="1"/>
        <v>139383.04000000656</v>
      </c>
      <c r="N40" s="29" t="s">
        <v>23</v>
      </c>
      <c r="O40" s="30">
        <f t="shared" si="3"/>
        <v>0</v>
      </c>
      <c r="P40" s="30">
        <f t="shared" si="4"/>
        <v>0</v>
      </c>
      <c r="Q40" s="30">
        <f t="shared" si="4"/>
        <v>139383.04000000001</v>
      </c>
    </row>
    <row r="41" spans="1:17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28">
        <f t="shared" si="2"/>
        <v>0</v>
      </c>
      <c r="L41" s="18"/>
      <c r="M41" s="19">
        <f t="shared" si="1"/>
        <v>0</v>
      </c>
      <c r="N41" s="3"/>
      <c r="O41" s="30">
        <f t="shared" si="3"/>
        <v>0</v>
      </c>
      <c r="P41" s="30">
        <f t="shared" si="4"/>
        <v>0</v>
      </c>
      <c r="Q41" s="30">
        <f t="shared" si="4"/>
        <v>0</v>
      </c>
    </row>
    <row r="42" spans="1:17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28">
        <f t="shared" si="2"/>
        <v>0</v>
      </c>
      <c r="L42" s="18"/>
      <c r="M42" s="19">
        <f t="shared" si="1"/>
        <v>0</v>
      </c>
      <c r="N42" s="3"/>
      <c r="O42" s="30">
        <f t="shared" si="3"/>
        <v>0</v>
      </c>
      <c r="P42" s="30">
        <f t="shared" si="4"/>
        <v>0</v>
      </c>
      <c r="Q42" s="30">
        <f t="shared" si="4"/>
        <v>0</v>
      </c>
    </row>
    <row r="43" spans="1:17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28">
        <f t="shared" si="2"/>
        <v>0</v>
      </c>
      <c r="L43" s="18"/>
      <c r="M43" s="19">
        <f t="shared" si="1"/>
        <v>0</v>
      </c>
      <c r="N43" s="3"/>
      <c r="O43" s="30">
        <f t="shared" si="3"/>
        <v>0</v>
      </c>
      <c r="P43" s="30">
        <f t="shared" si="4"/>
        <v>0</v>
      </c>
      <c r="Q43" s="30">
        <f t="shared" si="4"/>
        <v>0</v>
      </c>
    </row>
    <row r="44" spans="1:17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28">
        <f t="shared" si="2"/>
        <v>0</v>
      </c>
      <c r="L44" s="18"/>
      <c r="M44" s="19">
        <f t="shared" si="1"/>
        <v>0</v>
      </c>
      <c r="N44" s="3"/>
      <c r="O44" s="30">
        <f t="shared" si="3"/>
        <v>0</v>
      </c>
      <c r="P44" s="30">
        <f t="shared" si="4"/>
        <v>0</v>
      </c>
      <c r="Q44" s="30">
        <f t="shared" si="4"/>
        <v>0</v>
      </c>
    </row>
    <row r="45" spans="1:17" x14ac:dyDescent="0.25">
      <c r="A45" s="102" t="s">
        <v>53</v>
      </c>
      <c r="B45" s="102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28">
        <f t="shared" si="2"/>
        <v>0</v>
      </c>
      <c r="L45" s="18"/>
      <c r="M45" s="19">
        <f t="shared" si="1"/>
        <v>0</v>
      </c>
      <c r="N45" s="3"/>
      <c r="O45" s="30">
        <f t="shared" si="3"/>
        <v>0</v>
      </c>
      <c r="P45" s="30">
        <f t="shared" si="4"/>
        <v>0</v>
      </c>
      <c r="Q45" s="30">
        <f t="shared" si="4"/>
        <v>0</v>
      </c>
    </row>
    <row r="46" spans="1:17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28">
        <f t="shared" si="2"/>
        <v>0</v>
      </c>
      <c r="L46" s="18"/>
      <c r="M46" s="19">
        <f t="shared" si="1"/>
        <v>0</v>
      </c>
      <c r="N46" s="3"/>
      <c r="O46" s="30">
        <f t="shared" si="3"/>
        <v>0</v>
      </c>
      <c r="P46" s="30">
        <f t="shared" si="4"/>
        <v>0</v>
      </c>
      <c r="Q46" s="30">
        <f t="shared" si="4"/>
        <v>0</v>
      </c>
    </row>
    <row r="47" spans="1:17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28">
        <f t="shared" si="2"/>
        <v>0</v>
      </c>
      <c r="L47" s="24"/>
      <c r="M47" s="19">
        <f t="shared" si="1"/>
        <v>0</v>
      </c>
      <c r="N47" s="25"/>
      <c r="O47" s="30">
        <f t="shared" si="3"/>
        <v>0</v>
      </c>
      <c r="P47" s="30">
        <f t="shared" si="4"/>
        <v>0</v>
      </c>
      <c r="Q47" s="30">
        <f t="shared" si="4"/>
        <v>0</v>
      </c>
    </row>
    <row r="48" spans="1:17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28"/>
      <c r="L48" s="24"/>
      <c r="M48" s="19"/>
      <c r="N48" s="25"/>
    </row>
    <row r="49" spans="1:14" x14ac:dyDescent="0.25">
      <c r="A49" s="106" t="s">
        <v>56</v>
      </c>
      <c r="B49" s="106"/>
      <c r="C49" s="39">
        <f>SUM(C14:C48)</f>
        <v>70608815.359999999</v>
      </c>
      <c r="D49" s="40">
        <f>SUM(D14:D48)</f>
        <v>68754996.61999999</v>
      </c>
      <c r="E49" s="40">
        <f>SUM(E14:E48)</f>
        <v>1870979.13</v>
      </c>
      <c r="F49" s="40">
        <f>SUM(F14:F48)</f>
        <v>141234791.11000001</v>
      </c>
      <c r="G49" s="18"/>
      <c r="H49" s="40">
        <f>SUM(H14:H48)</f>
        <v>70608815.359999999</v>
      </c>
      <c r="I49" s="40">
        <f>SUM(I14:I48)</f>
        <v>68754996.620000005</v>
      </c>
      <c r="J49" s="40">
        <f>SUM(J14:J48)</f>
        <v>5142918.4799999995</v>
      </c>
      <c r="K49" s="40">
        <f>SUM(K14:K48)</f>
        <v>144506730.45999998</v>
      </c>
      <c r="L49" s="18"/>
      <c r="M49" s="41">
        <f t="shared" si="1"/>
        <v>-3271939.3499999642</v>
      </c>
      <c r="N49" s="3"/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3"/>
    </row>
    <row r="51" spans="1:14" x14ac:dyDescent="0.25">
      <c r="A51" s="15" t="s">
        <v>57</v>
      </c>
      <c r="B51" s="20"/>
      <c r="C51" s="44" t="s">
        <v>58</v>
      </c>
      <c r="D51" s="43"/>
      <c r="E51" s="43"/>
      <c r="F51" s="43"/>
      <c r="G51" s="14"/>
      <c r="H51" s="14"/>
      <c r="I51" s="14"/>
      <c r="J51" s="43"/>
      <c r="K51" s="18"/>
      <c r="L51" s="14"/>
      <c r="M51" s="14"/>
      <c r="N51" s="3"/>
    </row>
    <row r="52" spans="1:14" x14ac:dyDescent="0.25">
      <c r="A52" s="103" t="s">
        <v>59</v>
      </c>
      <c r="B52" s="103"/>
      <c r="C52" s="45">
        <f>'[12]113'!H136+'[12]131'!H51+'[12]141'!G34+'[12]142'!G30+'[12]143'!G25+'[12]154'!H92</f>
        <v>289786.09999999998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"/>
    </row>
    <row r="53" spans="1:14" x14ac:dyDescent="0.25">
      <c r="A53" s="33" t="s">
        <v>60</v>
      </c>
      <c r="B53" s="46"/>
      <c r="C53" s="45">
        <f>-'[12]144'!F22</f>
        <v>-605433.22</v>
      </c>
      <c r="D53" s="14"/>
      <c r="E53" s="14"/>
      <c r="F53" s="14"/>
      <c r="G53" s="14"/>
      <c r="H53" s="14"/>
      <c r="I53" s="14"/>
      <c r="J53" s="14"/>
      <c r="K53" s="18"/>
      <c r="L53" s="14"/>
      <c r="M53" s="18"/>
      <c r="N53" s="3"/>
    </row>
    <row r="54" spans="1:14" x14ac:dyDescent="0.25">
      <c r="A54" s="47" t="s">
        <v>61</v>
      </c>
      <c r="B54" s="48"/>
      <c r="C54" s="45">
        <f>-'[12]152'!G57</f>
        <v>-2956292.23</v>
      </c>
      <c r="D54" s="49"/>
      <c r="E54" s="14"/>
      <c r="F54" s="14"/>
      <c r="G54" s="14"/>
      <c r="H54" s="14"/>
      <c r="I54" s="14"/>
      <c r="J54" s="14"/>
      <c r="K54" s="14"/>
      <c r="L54" s="14"/>
      <c r="M54" s="18"/>
      <c r="N54" s="3"/>
    </row>
    <row r="55" spans="1:14" x14ac:dyDescent="0.25">
      <c r="A55" s="50"/>
      <c r="B55" s="50"/>
      <c r="C55" s="43"/>
      <c r="D55" s="14"/>
      <c r="E55" s="14"/>
      <c r="F55" s="14"/>
      <c r="G55" s="14"/>
      <c r="H55" s="14"/>
      <c r="I55" s="14"/>
      <c r="J55" s="14"/>
      <c r="K55" s="14"/>
      <c r="L55" s="14"/>
      <c r="M55" s="18"/>
      <c r="N55" s="3"/>
    </row>
    <row r="56" spans="1:14" x14ac:dyDescent="0.25">
      <c r="A56" s="50"/>
      <c r="B56" s="50"/>
      <c r="C56" s="43"/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3"/>
    </row>
    <row r="57" spans="1:14" x14ac:dyDescent="0.25">
      <c r="B57" s="3"/>
      <c r="C57" s="4"/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32"/>
    </row>
    <row r="58" spans="1:14" ht="15.75" thickBot="1" x14ac:dyDescent="0.3">
      <c r="B58" s="3"/>
      <c r="C58" s="4"/>
      <c r="D58" s="107"/>
      <c r="E58" s="107"/>
      <c r="F58" s="52"/>
      <c r="G58" s="3"/>
      <c r="H58" s="111"/>
      <c r="I58" s="111"/>
      <c r="J58" s="25"/>
      <c r="K58" s="112"/>
      <c r="L58" s="112"/>
      <c r="M58" s="112"/>
      <c r="N58" s="32"/>
    </row>
    <row r="59" spans="1:14" x14ac:dyDescent="0.25">
      <c r="A59" s="53" t="s">
        <v>62</v>
      </c>
      <c r="B59" s="3"/>
      <c r="C59" s="113" t="s">
        <v>63</v>
      </c>
      <c r="D59" s="113"/>
      <c r="E59" s="52"/>
      <c r="F59" s="52"/>
      <c r="G59" s="3"/>
      <c r="H59" s="113" t="s">
        <v>62</v>
      </c>
      <c r="I59" s="113"/>
      <c r="J59" s="54"/>
      <c r="K59" s="113" t="s">
        <v>63</v>
      </c>
      <c r="L59" s="113"/>
      <c r="M59" s="113"/>
      <c r="N59" s="32"/>
    </row>
    <row r="60" spans="1:14" x14ac:dyDescent="0.25">
      <c r="A60" s="55" t="s">
        <v>64</v>
      </c>
      <c r="B60" s="3"/>
      <c r="C60" s="108" t="s">
        <v>65</v>
      </c>
      <c r="D60" s="108"/>
      <c r="E60" s="4"/>
      <c r="F60" s="4"/>
      <c r="G60" s="3"/>
      <c r="H60" s="109" t="s">
        <v>66</v>
      </c>
      <c r="I60" s="109"/>
      <c r="J60" s="4"/>
      <c r="K60" s="109" t="s">
        <v>67</v>
      </c>
      <c r="L60" s="109"/>
      <c r="M60" s="109"/>
      <c r="N60" s="32"/>
    </row>
    <row r="61" spans="1:14" x14ac:dyDescent="0.25">
      <c r="B61" s="3"/>
      <c r="C61" s="4"/>
      <c r="D61" s="4"/>
      <c r="E61" s="4"/>
      <c r="F61" s="4"/>
      <c r="G61" s="3"/>
      <c r="H61" s="3"/>
      <c r="I61" s="3"/>
      <c r="J61" s="4"/>
      <c r="K61" s="3"/>
      <c r="L61" s="3"/>
      <c r="M61" s="32"/>
      <c r="N61" s="32"/>
    </row>
    <row r="62" spans="1:14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3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</row>
    <row r="64" spans="1:14" ht="15" customHeight="1" x14ac:dyDescent="0.25">
      <c r="A64" s="110" t="s">
        <v>68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32"/>
    </row>
    <row r="65" spans="2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32"/>
    </row>
    <row r="66" spans="2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32"/>
    </row>
    <row r="67" spans="2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</row>
  </sheetData>
  <mergeCells count="57">
    <mergeCell ref="A1:M1"/>
    <mergeCell ref="B2:M2"/>
    <mergeCell ref="A3:M3"/>
    <mergeCell ref="A6:B6"/>
    <mergeCell ref="A9:B10"/>
    <mergeCell ref="C10:F10"/>
    <mergeCell ref="H10:K10"/>
    <mergeCell ref="A20:B20"/>
    <mergeCell ref="A11:B11"/>
    <mergeCell ref="C11:E11"/>
    <mergeCell ref="H11:J11"/>
    <mergeCell ref="A12:B12"/>
    <mergeCell ref="A13:B13"/>
    <mergeCell ref="A14:B14"/>
    <mergeCell ref="A15:B15"/>
    <mergeCell ref="A16:B16"/>
    <mergeCell ref="A17:B17"/>
    <mergeCell ref="A18:B18"/>
    <mergeCell ref="A19:B19"/>
    <mergeCell ref="A36:B36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B49"/>
    <mergeCell ref="A52:B52"/>
    <mergeCell ref="D57:E57"/>
    <mergeCell ref="H57:J57"/>
    <mergeCell ref="D58:E58"/>
    <mergeCell ref="H58:I58"/>
    <mergeCell ref="A64:M64"/>
    <mergeCell ref="K58:M58"/>
    <mergeCell ref="C59:D59"/>
    <mergeCell ref="H59:I59"/>
    <mergeCell ref="K59:M59"/>
    <mergeCell ref="C60:D60"/>
    <mergeCell ref="H60:I60"/>
    <mergeCell ref="K60:M60"/>
  </mergeCells>
  <pageMargins left="0.19685039370078741" right="0.19685039370078741" top="0.74803149606299213" bottom="0.74803149606299213" header="0.31496062992125984" footer="0.31496062992125984"/>
  <pageSetup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BEF6-BEDA-4094-BBD2-987B2A4BBA4B}">
  <dimension ref="A1:Q70"/>
  <sheetViews>
    <sheetView zoomScale="80" zoomScaleNormal="80" workbookViewId="0">
      <selection activeCell="O59" sqref="O59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1.42578125" style="63"/>
    <col min="15" max="15" width="15" customWidth="1"/>
  </cols>
  <sheetData>
    <row r="1" spans="1:16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</row>
    <row r="2" spans="1:16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</row>
    <row r="3" spans="1:16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"/>
    </row>
    <row r="4" spans="1:16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5"/>
    </row>
    <row r="5" spans="1:16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5"/>
    </row>
    <row r="6" spans="1:16" ht="15" customHeight="1" x14ac:dyDescent="0.25">
      <c r="A6" s="90" t="s">
        <v>115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5"/>
    </row>
    <row r="7" spans="1:16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5"/>
    </row>
    <row r="8" spans="1:16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5"/>
    </row>
    <row r="9" spans="1:16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5"/>
    </row>
    <row r="10" spans="1:16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</row>
    <row r="11" spans="1:16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</row>
    <row r="12" spans="1:16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</row>
    <row r="13" spans="1:16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5"/>
    </row>
    <row r="14" spans="1:16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  <c r="N14" s="5"/>
      <c r="O14" s="30"/>
    </row>
    <row r="15" spans="1:16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5"/>
      <c r="O15" s="30"/>
    </row>
    <row r="16" spans="1:16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56"/>
      <c r="O16" s="30"/>
      <c r="P16" s="30"/>
    </row>
    <row r="17" spans="1:17" x14ac:dyDescent="0.25">
      <c r="A17" s="103" t="s">
        <v>22</v>
      </c>
      <c r="B17" s="103"/>
      <c r="C17" s="26">
        <v>21613509.23</v>
      </c>
      <c r="D17" s="27">
        <v>21625026.539999995</v>
      </c>
      <c r="E17" s="27">
        <v>308717.88999999996</v>
      </c>
      <c r="F17" s="17">
        <f t="shared" si="0"/>
        <v>43547253.659999996</v>
      </c>
      <c r="G17" s="18"/>
      <c r="H17" s="28">
        <f>'[2]113'!G135-'[2]113'!H135</f>
        <v>21613509.229999997</v>
      </c>
      <c r="I17" s="28">
        <f>'[2]113'!G136-'[2]113'!H136</f>
        <v>21625026.539999995</v>
      </c>
      <c r="J17" s="28">
        <f>'[2]113'!G138-'[2]113'!H137</f>
        <v>304206.83999999997</v>
      </c>
      <c r="K17" s="19">
        <f t="shared" si="1"/>
        <v>43542742.609999999</v>
      </c>
      <c r="L17" s="18"/>
      <c r="M17" s="19">
        <f t="shared" si="2"/>
        <v>4511.0499999970198</v>
      </c>
      <c r="N17" s="29" t="s">
        <v>23</v>
      </c>
      <c r="O17" s="30">
        <f t="shared" ref="O17:O47" si="3">C17-H17</f>
        <v>0</v>
      </c>
      <c r="P17" s="30">
        <f t="shared" ref="P17:P47" si="4">D17-I17</f>
        <v>0</v>
      </c>
      <c r="Q17" s="30">
        <f t="shared" ref="Q17:Q47" si="5">E17-J17</f>
        <v>4511.0499999999884</v>
      </c>
    </row>
    <row r="18" spans="1:17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spans="1:17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5"/>
      <c r="O19" s="30">
        <f t="shared" si="3"/>
        <v>0</v>
      </c>
      <c r="P19" s="30">
        <f t="shared" si="4"/>
        <v>0</v>
      </c>
      <c r="Q19" s="30">
        <f t="shared" si="5"/>
        <v>0</v>
      </c>
    </row>
    <row r="20" spans="1:17" x14ac:dyDescent="0.25">
      <c r="A20" s="103" t="s">
        <v>26</v>
      </c>
      <c r="B20" s="103"/>
      <c r="C20" s="26">
        <v>5377144.9799999995</v>
      </c>
      <c r="D20" s="27">
        <v>5452378.2999999998</v>
      </c>
      <c r="E20" s="27"/>
      <c r="F20" s="17">
        <f t="shared" si="0"/>
        <v>10829523.279999999</v>
      </c>
      <c r="G20" s="18"/>
      <c r="H20" s="28">
        <f>'[2]121'!F50</f>
        <v>5377144.9799999995</v>
      </c>
      <c r="I20" s="28">
        <f>'[2]121'!F51</f>
        <v>5452378.2999999998</v>
      </c>
      <c r="J20" s="28"/>
      <c r="K20" s="19">
        <f t="shared" si="1"/>
        <v>10829523.279999999</v>
      </c>
      <c r="L20" s="18"/>
      <c r="M20" s="19">
        <f t="shared" si="2"/>
        <v>0</v>
      </c>
      <c r="N20" s="5"/>
      <c r="O20" s="30">
        <f t="shared" si="3"/>
        <v>0</v>
      </c>
      <c r="P20" s="30">
        <f t="shared" si="4"/>
        <v>0</v>
      </c>
      <c r="Q20" s="30">
        <f t="shared" si="5"/>
        <v>0</v>
      </c>
    </row>
    <row r="21" spans="1:17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56"/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spans="1:17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spans="1:17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5"/>
      <c r="O23" s="30">
        <f t="shared" si="3"/>
        <v>0</v>
      </c>
      <c r="P23" s="30">
        <f t="shared" si="4"/>
        <v>0</v>
      </c>
      <c r="Q23" s="30">
        <f t="shared" si="5"/>
        <v>0</v>
      </c>
    </row>
    <row r="24" spans="1:17" x14ac:dyDescent="0.25">
      <c r="A24" s="103" t="s">
        <v>30</v>
      </c>
      <c r="B24" s="103"/>
      <c r="C24" s="26">
        <v>2852188.6399999997</v>
      </c>
      <c r="D24" s="27">
        <v>2862150.17</v>
      </c>
      <c r="E24" s="27"/>
      <c r="F24" s="17">
        <f t="shared" si="0"/>
        <v>5714338.8099999996</v>
      </c>
      <c r="G24" s="24"/>
      <c r="H24" s="28">
        <f>'[2]131'!F42</f>
        <v>2852188.64</v>
      </c>
      <c r="I24" s="28">
        <f>'[2]131'!F43</f>
        <v>2862150.17</v>
      </c>
      <c r="J24" s="28"/>
      <c r="K24" s="19">
        <f t="shared" si="1"/>
        <v>5714338.8100000005</v>
      </c>
      <c r="L24" s="24"/>
      <c r="M24" s="19">
        <f t="shared" si="2"/>
        <v>0</v>
      </c>
      <c r="N24" s="56"/>
      <c r="O24" s="30">
        <f t="shared" si="3"/>
        <v>0</v>
      </c>
      <c r="P24" s="30">
        <f t="shared" si="4"/>
        <v>0</v>
      </c>
      <c r="Q24" s="30">
        <f t="shared" si="5"/>
        <v>0</v>
      </c>
    </row>
    <row r="25" spans="1:17" x14ac:dyDescent="0.25">
      <c r="A25" s="103" t="s">
        <v>31</v>
      </c>
      <c r="B25" s="103"/>
      <c r="C25" s="26"/>
      <c r="D25" s="27"/>
      <c r="E25" s="27">
        <v>272194.58</v>
      </c>
      <c r="F25" s="17">
        <f t="shared" si="0"/>
        <v>272194.58</v>
      </c>
      <c r="G25" s="18"/>
      <c r="H25" s="28"/>
      <c r="I25" s="28"/>
      <c r="J25" s="28">
        <f>'[2]132'!F73</f>
        <v>272194.58000000007</v>
      </c>
      <c r="K25" s="19">
        <f t="shared" si="1"/>
        <v>272194.58000000007</v>
      </c>
      <c r="L25" s="18"/>
      <c r="M25" s="19">
        <f t="shared" si="2"/>
        <v>0</v>
      </c>
      <c r="N25" s="5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spans="1:17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5"/>
      <c r="O26" s="30">
        <f t="shared" si="3"/>
        <v>0</v>
      </c>
      <c r="P26" s="30">
        <f t="shared" si="4"/>
        <v>0</v>
      </c>
      <c r="Q26" s="30">
        <f t="shared" si="5"/>
        <v>0</v>
      </c>
    </row>
    <row r="27" spans="1:17" x14ac:dyDescent="0.25">
      <c r="A27" s="103" t="s">
        <v>33</v>
      </c>
      <c r="B27" s="103"/>
      <c r="C27" s="26">
        <v>797357.81</v>
      </c>
      <c r="D27" s="27">
        <v>831325.53</v>
      </c>
      <c r="E27" s="27"/>
      <c r="F27" s="17">
        <f t="shared" si="0"/>
        <v>1628683.34</v>
      </c>
      <c r="G27" s="18"/>
      <c r="H27" s="28">
        <f>'[2]134'!F73</f>
        <v>797357.80999999994</v>
      </c>
      <c r="I27" s="28">
        <f>'[2]134'!F74</f>
        <v>831325.53</v>
      </c>
      <c r="J27" s="28"/>
      <c r="K27" s="19">
        <f t="shared" si="1"/>
        <v>1628683.3399999999</v>
      </c>
      <c r="L27" s="18"/>
      <c r="M27" s="19">
        <f t="shared" si="2"/>
        <v>0</v>
      </c>
      <c r="N27" s="5"/>
      <c r="O27" s="30">
        <f t="shared" si="3"/>
        <v>0</v>
      </c>
      <c r="P27" s="30">
        <f t="shared" si="4"/>
        <v>0</v>
      </c>
      <c r="Q27" s="30">
        <f t="shared" si="5"/>
        <v>0</v>
      </c>
    </row>
    <row r="28" spans="1:17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spans="1:17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spans="1:17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spans="1:17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5"/>
      <c r="O31" s="30">
        <f t="shared" si="3"/>
        <v>0</v>
      </c>
      <c r="P31" s="30">
        <f t="shared" si="4"/>
        <v>0</v>
      </c>
      <c r="Q31" s="30">
        <f t="shared" si="5"/>
        <v>0</v>
      </c>
    </row>
    <row r="32" spans="1:17" x14ac:dyDescent="0.25">
      <c r="A32" s="33" t="s">
        <v>38</v>
      </c>
      <c r="B32" s="34"/>
      <c r="C32" s="26">
        <v>3380155.2</v>
      </c>
      <c r="D32" s="27">
        <v>3387037.2199999997</v>
      </c>
      <c r="E32" s="27"/>
      <c r="F32" s="17">
        <f t="shared" si="0"/>
        <v>6767192.4199999999</v>
      </c>
      <c r="G32" s="18"/>
      <c r="H32" s="28">
        <f>'[2]141'!F27</f>
        <v>3380155.2</v>
      </c>
      <c r="I32" s="28">
        <f>'[2]141'!F28</f>
        <v>3387037.2199999997</v>
      </c>
      <c r="J32" s="28"/>
      <c r="K32" s="19">
        <f t="shared" si="1"/>
        <v>6767192.4199999999</v>
      </c>
      <c r="L32" s="18"/>
      <c r="M32" s="19">
        <f t="shared" si="2"/>
        <v>0</v>
      </c>
      <c r="N32" s="5"/>
      <c r="O32" s="30">
        <f t="shared" si="3"/>
        <v>0</v>
      </c>
      <c r="P32" s="30">
        <f t="shared" si="4"/>
        <v>0</v>
      </c>
      <c r="Q32" s="30">
        <f t="shared" si="5"/>
        <v>0</v>
      </c>
    </row>
    <row r="33" spans="1:17" x14ac:dyDescent="0.25">
      <c r="A33" s="33" t="s">
        <v>39</v>
      </c>
      <c r="B33" s="34"/>
      <c r="C33" s="26">
        <v>1115944.93</v>
      </c>
      <c r="D33" s="27">
        <v>1118216.97</v>
      </c>
      <c r="E33" s="27"/>
      <c r="F33" s="17">
        <f t="shared" si="0"/>
        <v>2234161.9</v>
      </c>
      <c r="G33" s="18"/>
      <c r="H33" s="28">
        <f>'[2]142'!F23</f>
        <v>1115944.93</v>
      </c>
      <c r="I33" s="28">
        <f>'[2]142'!F24</f>
        <v>1118216.97</v>
      </c>
      <c r="J33" s="28"/>
      <c r="K33" s="19">
        <f t="shared" si="1"/>
        <v>2234161.9</v>
      </c>
      <c r="L33" s="18"/>
      <c r="M33" s="19">
        <f t="shared" si="2"/>
        <v>0</v>
      </c>
      <c r="N33" s="5"/>
      <c r="O33" s="30">
        <f t="shared" si="3"/>
        <v>0</v>
      </c>
      <c r="P33" s="30">
        <f t="shared" si="4"/>
        <v>0</v>
      </c>
      <c r="Q33" s="30">
        <f t="shared" si="5"/>
        <v>0</v>
      </c>
    </row>
    <row r="34" spans="1:17" x14ac:dyDescent="0.25">
      <c r="A34" s="35" t="s">
        <v>40</v>
      </c>
      <c r="B34" s="36"/>
      <c r="C34" s="26">
        <v>238454.36</v>
      </c>
      <c r="D34" s="27">
        <v>240713.37</v>
      </c>
      <c r="E34" s="27"/>
      <c r="F34" s="17">
        <f t="shared" si="0"/>
        <v>479167.73</v>
      </c>
      <c r="G34" s="18"/>
      <c r="H34" s="28">
        <f>'[2]143'!F21</f>
        <v>238454.36</v>
      </c>
      <c r="I34" s="28">
        <f>'[2]143'!F22</f>
        <v>240713.37</v>
      </c>
      <c r="J34" s="28"/>
      <c r="K34" s="19">
        <f t="shared" si="1"/>
        <v>479167.73</v>
      </c>
      <c r="L34" s="18"/>
      <c r="M34" s="19">
        <f t="shared" si="2"/>
        <v>0</v>
      </c>
      <c r="N34" s="5"/>
      <c r="O34" s="30">
        <f t="shared" si="3"/>
        <v>0</v>
      </c>
      <c r="P34" s="30">
        <f t="shared" si="4"/>
        <v>0</v>
      </c>
      <c r="Q34" s="30">
        <f t="shared" si="5"/>
        <v>0</v>
      </c>
    </row>
    <row r="35" spans="1:17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5"/>
      <c r="O35" s="30">
        <f t="shared" si="3"/>
        <v>0</v>
      </c>
      <c r="P35" s="30">
        <f t="shared" si="4"/>
        <v>0</v>
      </c>
      <c r="Q35" s="30">
        <f t="shared" si="5"/>
        <v>0</v>
      </c>
    </row>
    <row r="36" spans="1:17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5"/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spans="1:17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5"/>
      <c r="O37" s="30">
        <f t="shared" si="3"/>
        <v>0</v>
      </c>
      <c r="P37" s="30">
        <f t="shared" si="4"/>
        <v>0</v>
      </c>
      <c r="Q37" s="30">
        <f t="shared" si="5"/>
        <v>0</v>
      </c>
    </row>
    <row r="38" spans="1:17" x14ac:dyDescent="0.25">
      <c r="A38" s="103" t="s">
        <v>45</v>
      </c>
      <c r="B38" s="103"/>
      <c r="C38" s="26"/>
      <c r="D38" s="27"/>
      <c r="E38" s="27">
        <v>1833266.44</v>
      </c>
      <c r="F38" s="17">
        <f t="shared" si="0"/>
        <v>1833266.44</v>
      </c>
      <c r="G38" s="18"/>
      <c r="H38" s="28"/>
      <c r="I38" s="28"/>
      <c r="J38" s="28">
        <f>'[2]152'!F43+'[2]152'!F44</f>
        <v>1833266.44</v>
      </c>
      <c r="K38" s="19">
        <f t="shared" si="1"/>
        <v>1833266.44</v>
      </c>
      <c r="L38" s="18"/>
      <c r="M38" s="19">
        <f t="shared" si="2"/>
        <v>0</v>
      </c>
      <c r="N38" s="5"/>
      <c r="O38" s="30">
        <f t="shared" si="3"/>
        <v>0</v>
      </c>
      <c r="P38" s="30">
        <f t="shared" si="4"/>
        <v>0</v>
      </c>
      <c r="Q38" s="30">
        <f t="shared" si="5"/>
        <v>0</v>
      </c>
    </row>
    <row r="39" spans="1:17" x14ac:dyDescent="0.25">
      <c r="A39" s="103" t="s">
        <v>47</v>
      </c>
      <c r="B39" s="103"/>
      <c r="C39" s="26"/>
      <c r="D39" s="27"/>
      <c r="E39" s="27">
        <v>386091</v>
      </c>
      <c r="F39" s="17">
        <f t="shared" si="0"/>
        <v>386091</v>
      </c>
      <c r="G39" s="18"/>
      <c r="H39" s="28"/>
      <c r="I39" s="28"/>
      <c r="J39" s="28">
        <f>'[2]153'!G36</f>
        <v>386091</v>
      </c>
      <c r="K39" s="19">
        <f t="shared" si="1"/>
        <v>386091</v>
      </c>
      <c r="L39" s="18"/>
      <c r="M39" s="19">
        <f t="shared" si="2"/>
        <v>0</v>
      </c>
      <c r="N39" s="5"/>
      <c r="O39" s="30">
        <f t="shared" si="3"/>
        <v>0</v>
      </c>
      <c r="P39" s="30">
        <f t="shared" si="4"/>
        <v>0</v>
      </c>
      <c r="Q39" s="30">
        <f t="shared" si="5"/>
        <v>0</v>
      </c>
    </row>
    <row r="40" spans="1:17" x14ac:dyDescent="0.25">
      <c r="A40" s="103" t="s">
        <v>48</v>
      </c>
      <c r="B40" s="103"/>
      <c r="C40" s="26">
        <v>37774934.410000011</v>
      </c>
      <c r="D40" s="27">
        <v>38654409.030000001</v>
      </c>
      <c r="E40" s="27">
        <v>14433</v>
      </c>
      <c r="F40" s="17">
        <f t="shared" si="0"/>
        <v>76443776.440000013</v>
      </c>
      <c r="G40" s="18"/>
      <c r="H40" s="28">
        <f>'[2]154'!F74-'[2]154'!G74</f>
        <v>37774934.409999996</v>
      </c>
      <c r="I40" s="28">
        <f>'[2]154'!F75-'[2]154'!G75</f>
        <v>38654409.030000001</v>
      </c>
      <c r="J40" s="28">
        <f>'[2]154'!F76+'[2]154'!F77</f>
        <v>39897</v>
      </c>
      <c r="K40" s="19">
        <f t="shared" si="1"/>
        <v>76469240.439999998</v>
      </c>
      <c r="L40" s="18"/>
      <c r="M40" s="19">
        <f t="shared" si="2"/>
        <v>-25463.999999985099</v>
      </c>
      <c r="N40" s="29" t="s">
        <v>42</v>
      </c>
      <c r="O40" s="30">
        <f t="shared" si="3"/>
        <v>0</v>
      </c>
      <c r="P40" s="30">
        <f t="shared" si="4"/>
        <v>0</v>
      </c>
      <c r="Q40" s="30">
        <f t="shared" si="5"/>
        <v>-25464</v>
      </c>
    </row>
    <row r="41" spans="1:17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77">
        <f>'[2]155'!F11</f>
        <v>12874.32</v>
      </c>
      <c r="K41" s="19">
        <f t="shared" si="1"/>
        <v>12874.32</v>
      </c>
      <c r="L41" s="18"/>
      <c r="M41" s="19">
        <f t="shared" si="2"/>
        <v>-12874.32</v>
      </c>
      <c r="N41" s="29" t="s">
        <v>46</v>
      </c>
      <c r="O41" s="30">
        <f t="shared" si="3"/>
        <v>0</v>
      </c>
      <c r="P41" s="30">
        <f t="shared" si="4"/>
        <v>0</v>
      </c>
      <c r="Q41" s="30">
        <f t="shared" si="5"/>
        <v>-12874.32</v>
      </c>
    </row>
    <row r="42" spans="1:17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5"/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spans="1:17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5"/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spans="1:17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5"/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spans="1:17" x14ac:dyDescent="0.25">
      <c r="A45" s="102" t="s">
        <v>53</v>
      </c>
      <c r="B45" s="102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5"/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spans="1:17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5"/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spans="1:17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56"/>
      <c r="O47" s="30">
        <f t="shared" si="3"/>
        <v>0</v>
      </c>
      <c r="P47" s="30">
        <f t="shared" si="4"/>
        <v>0</v>
      </c>
      <c r="Q47" s="30">
        <f t="shared" si="5"/>
        <v>0</v>
      </c>
    </row>
    <row r="48" spans="1:17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  <c r="N48" s="56"/>
    </row>
    <row r="49" spans="1:14" x14ac:dyDescent="0.25">
      <c r="A49" s="106" t="s">
        <v>56</v>
      </c>
      <c r="B49" s="106"/>
      <c r="C49" s="39">
        <f>SUM(C14:C48)</f>
        <v>73149689.560000002</v>
      </c>
      <c r="D49" s="40">
        <f>SUM(D14:D48)</f>
        <v>74171257.129999995</v>
      </c>
      <c r="E49" s="40">
        <f>SUM(E14:E48)</f>
        <v>2814702.91</v>
      </c>
      <c r="F49" s="40">
        <f>SUM(F14:F48)</f>
        <v>150135649.60000002</v>
      </c>
      <c r="G49" s="18"/>
      <c r="H49" s="40">
        <f>SUM(H14:H48)</f>
        <v>73149689.560000002</v>
      </c>
      <c r="I49" s="40">
        <f>SUM(I14:I48)</f>
        <v>74171257.129999995</v>
      </c>
      <c r="J49" s="40">
        <f>SUM(J14:J48)</f>
        <v>2848530.1799999997</v>
      </c>
      <c r="K49" s="40">
        <f>SUM(K14:K48)</f>
        <v>150169476.87</v>
      </c>
      <c r="L49" s="18"/>
      <c r="M49" s="57">
        <f t="shared" si="2"/>
        <v>-33827.269999980927</v>
      </c>
      <c r="N49" s="64">
        <f>M49-C53-C54-C55</f>
        <v>1.9070284906774759E-8</v>
      </c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5"/>
    </row>
    <row r="51" spans="1:14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30"/>
      <c r="L51" s="14"/>
      <c r="M51" s="14"/>
      <c r="N51" s="5"/>
    </row>
    <row r="52" spans="1:14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5"/>
    </row>
    <row r="53" spans="1:14" x14ac:dyDescent="0.25">
      <c r="A53" s="103" t="s">
        <v>114</v>
      </c>
      <c r="B53" s="103"/>
      <c r="C53" s="45">
        <f>'[2]113'!H137</f>
        <v>4511.05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5"/>
    </row>
    <row r="54" spans="1:14" x14ac:dyDescent="0.25">
      <c r="A54" s="103" t="s">
        <v>113</v>
      </c>
      <c r="B54" s="102"/>
      <c r="C54" s="45">
        <f>-'[2]154'!F77</f>
        <v>-25464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5"/>
    </row>
    <row r="55" spans="1:14" x14ac:dyDescent="0.25">
      <c r="A55" s="102" t="s">
        <v>112</v>
      </c>
      <c r="B55" s="103"/>
      <c r="C55" s="45">
        <f>-'[2]155'!F11</f>
        <v>-12874.32</v>
      </c>
      <c r="D55" s="49"/>
      <c r="E55" s="14"/>
      <c r="F55" s="14"/>
      <c r="G55" s="14"/>
      <c r="H55" s="14"/>
      <c r="I55" s="14"/>
      <c r="J55" s="14"/>
      <c r="K55" s="14"/>
      <c r="L55" s="14"/>
      <c r="M55" s="18"/>
      <c r="N55" s="5"/>
    </row>
    <row r="56" spans="1:14" x14ac:dyDescent="0.25">
      <c r="A56" s="50"/>
      <c r="B56" s="50"/>
      <c r="C56" s="43"/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5"/>
    </row>
    <row r="57" spans="1:14" x14ac:dyDescent="0.25">
      <c r="A57" s="50"/>
      <c r="B57" s="50"/>
      <c r="C57" s="43"/>
      <c r="D57" s="14"/>
      <c r="E57" s="14"/>
      <c r="F57" s="14"/>
      <c r="G57" s="14"/>
      <c r="H57" s="14"/>
      <c r="I57" s="14"/>
      <c r="J57" s="14"/>
      <c r="K57" s="14"/>
      <c r="L57" s="14"/>
      <c r="M57" s="18"/>
      <c r="N57" s="5"/>
    </row>
    <row r="58" spans="1:14" x14ac:dyDescent="0.25">
      <c r="A58" s="50"/>
      <c r="B58" s="50"/>
      <c r="C58" s="43"/>
      <c r="D58" s="14"/>
      <c r="E58" s="14"/>
      <c r="F58" s="14"/>
      <c r="G58" s="14"/>
      <c r="H58" s="14"/>
      <c r="I58" s="14"/>
      <c r="J58" s="14"/>
      <c r="K58" s="14"/>
      <c r="L58" s="14"/>
      <c r="M58" s="18"/>
      <c r="N58" s="5"/>
    </row>
    <row r="59" spans="1:14" x14ac:dyDescent="0.25">
      <c r="A59" s="50"/>
      <c r="B59" s="50"/>
      <c r="C59" s="43"/>
      <c r="D59" s="14"/>
      <c r="E59" s="14"/>
      <c r="F59" s="14"/>
      <c r="G59" s="14"/>
      <c r="H59" s="14"/>
      <c r="I59" s="14"/>
      <c r="J59" s="14"/>
      <c r="K59" s="14"/>
      <c r="L59" s="14"/>
      <c r="M59" s="18"/>
      <c r="N59" s="5"/>
    </row>
    <row r="60" spans="1:14" x14ac:dyDescent="0.25">
      <c r="B60" s="3"/>
      <c r="C60" s="4"/>
      <c r="D60" s="107"/>
      <c r="E60" s="107"/>
      <c r="F60" s="51"/>
      <c r="G60" s="3"/>
      <c r="H60" s="107"/>
      <c r="I60" s="107"/>
      <c r="J60" s="107"/>
      <c r="K60" s="3"/>
      <c r="L60" s="3"/>
      <c r="M60" s="32"/>
      <c r="N60" s="62"/>
    </row>
    <row r="61" spans="1:14" ht="15.75" thickBot="1" x14ac:dyDescent="0.3">
      <c r="B61" s="3"/>
      <c r="C61" s="4"/>
      <c r="D61" s="107"/>
      <c r="E61" s="107"/>
      <c r="F61" s="52"/>
      <c r="G61" s="3"/>
      <c r="H61" s="111"/>
      <c r="I61" s="111"/>
      <c r="J61" s="25"/>
      <c r="K61" s="112"/>
      <c r="L61" s="112"/>
      <c r="M61" s="112"/>
      <c r="N61" s="62"/>
    </row>
    <row r="62" spans="1:14" x14ac:dyDescent="0.25">
      <c r="A62" s="53" t="s">
        <v>62</v>
      </c>
      <c r="B62" s="3"/>
      <c r="C62" s="113" t="s">
        <v>63</v>
      </c>
      <c r="D62" s="113"/>
      <c r="E62" s="52"/>
      <c r="F62" s="52"/>
      <c r="G62" s="3"/>
      <c r="H62" s="113" t="s">
        <v>62</v>
      </c>
      <c r="I62" s="113"/>
      <c r="J62" s="54"/>
      <c r="K62" s="113" t="s">
        <v>63</v>
      </c>
      <c r="L62" s="113"/>
      <c r="M62" s="113"/>
      <c r="N62" s="62"/>
    </row>
    <row r="63" spans="1:14" x14ac:dyDescent="0.25">
      <c r="A63" s="55" t="s">
        <v>64</v>
      </c>
      <c r="B63" s="3"/>
      <c r="C63" s="108" t="s">
        <v>65</v>
      </c>
      <c r="D63" s="108"/>
      <c r="E63" s="4"/>
      <c r="F63" s="4"/>
      <c r="G63" s="3"/>
      <c r="H63" s="109" t="s">
        <v>66</v>
      </c>
      <c r="I63" s="109"/>
      <c r="J63" s="4"/>
      <c r="K63" s="109" t="s">
        <v>67</v>
      </c>
      <c r="L63" s="109"/>
      <c r="M63" s="109"/>
      <c r="N63" s="62"/>
    </row>
    <row r="64" spans="1:14" x14ac:dyDescent="0.25">
      <c r="B64" s="3"/>
      <c r="C64" s="4"/>
      <c r="D64" s="4"/>
      <c r="E64" s="4"/>
      <c r="F64" s="4"/>
      <c r="G64" s="3"/>
      <c r="H64" s="3"/>
      <c r="I64" s="3"/>
      <c r="J64" s="4"/>
      <c r="K64" s="3"/>
      <c r="L64" s="3"/>
      <c r="M64" s="32"/>
      <c r="N64" s="62"/>
    </row>
    <row r="65" spans="1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62"/>
    </row>
    <row r="66" spans="1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62"/>
    </row>
    <row r="67" spans="1:14" ht="15" customHeight="1" x14ac:dyDescent="0.25">
      <c r="A67" s="110" t="s">
        <v>68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62"/>
    </row>
    <row r="68" spans="1:14" x14ac:dyDescent="0.25"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62"/>
    </row>
    <row r="69" spans="1:14" x14ac:dyDescent="0.25"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  <c r="N69" s="62"/>
    </row>
    <row r="70" spans="1:14" x14ac:dyDescent="0.25">
      <c r="B70" s="3"/>
      <c r="C70" s="4"/>
      <c r="D70" s="4"/>
      <c r="E70" s="4"/>
      <c r="F70" s="4"/>
      <c r="G70" s="3"/>
      <c r="H70" s="3"/>
      <c r="I70" s="3"/>
      <c r="J70" s="4"/>
      <c r="K70" s="3"/>
      <c r="L70" s="3"/>
      <c r="M70" s="32"/>
      <c r="N70" s="62"/>
    </row>
  </sheetData>
  <mergeCells count="59">
    <mergeCell ref="A67:M67"/>
    <mergeCell ref="D61:E61"/>
    <mergeCell ref="H61:I61"/>
    <mergeCell ref="K61:M61"/>
    <mergeCell ref="C62:D62"/>
    <mergeCell ref="H62:I62"/>
    <mergeCell ref="K62:M62"/>
    <mergeCell ref="D60:E60"/>
    <mergeCell ref="H60:J60"/>
    <mergeCell ref="C63:D63"/>
    <mergeCell ref="H63:I63"/>
    <mergeCell ref="K63:M63"/>
    <mergeCell ref="A48:B48"/>
    <mergeCell ref="A49:B49"/>
    <mergeCell ref="A53:B53"/>
    <mergeCell ref="A54:B54"/>
    <mergeCell ref="A55:B55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31B2-56EF-475A-B57C-F9AB4CD469BF}">
  <dimension ref="A1:Y88"/>
  <sheetViews>
    <sheetView zoomScale="69" zoomScaleNormal="69" workbookViewId="0">
      <selection activeCell="A52" sqref="A52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6.140625" style="63" customWidth="1"/>
    <col min="15" max="15" width="15.140625" style="63" customWidth="1"/>
    <col min="16" max="22" width="13.7109375" style="63" customWidth="1"/>
    <col min="23" max="24" width="13.140625" bestFit="1" customWidth="1"/>
    <col min="25" max="25" width="16.28515625" customWidth="1"/>
  </cols>
  <sheetData>
    <row r="1" spans="1:25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  <c r="T1" s="1"/>
      <c r="U1" s="1"/>
      <c r="V1" s="1"/>
    </row>
    <row r="2" spans="1:25" ht="15.75" customHeight="1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  <c r="O2" s="5"/>
      <c r="P2" s="5"/>
      <c r="Q2" s="5"/>
      <c r="R2" s="5"/>
      <c r="S2" s="5"/>
      <c r="T2" s="5"/>
      <c r="U2" s="5"/>
      <c r="V2" s="5"/>
    </row>
    <row r="3" spans="1:25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"/>
      <c r="O3" s="5"/>
      <c r="P3" s="5"/>
      <c r="Q3" s="5"/>
      <c r="R3" s="5"/>
      <c r="S3" s="5"/>
      <c r="T3" s="5"/>
      <c r="U3" s="5"/>
      <c r="V3" s="5"/>
    </row>
    <row r="4" spans="1:25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5"/>
      <c r="O4" s="5"/>
      <c r="P4" s="5"/>
      <c r="Q4" s="5"/>
      <c r="R4" s="5"/>
      <c r="S4" s="5"/>
      <c r="T4" s="5"/>
      <c r="U4" s="5"/>
      <c r="V4" s="5"/>
    </row>
    <row r="5" spans="1:25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</row>
    <row r="6" spans="1:25" ht="15" customHeight="1" x14ac:dyDescent="0.25">
      <c r="A6" s="90" t="s">
        <v>111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5"/>
      <c r="O6" s="5"/>
      <c r="P6" s="5"/>
      <c r="Q6" s="5"/>
      <c r="R6" s="5"/>
      <c r="S6" s="5"/>
      <c r="T6" s="5"/>
      <c r="U6" s="5"/>
      <c r="V6" s="5"/>
    </row>
    <row r="7" spans="1:25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5"/>
      <c r="O7" s="5"/>
      <c r="P7" s="5"/>
      <c r="Q7" s="5"/>
      <c r="R7" s="5"/>
      <c r="S7" s="5"/>
      <c r="T7" s="5"/>
      <c r="U7" s="5"/>
      <c r="V7" s="5"/>
    </row>
    <row r="8" spans="1:25" ht="15.75" customHeight="1" thickBot="1" x14ac:dyDescent="0.3">
      <c r="A8" s="91" t="s">
        <v>4</v>
      </c>
      <c r="B8" s="91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</row>
    <row r="9" spans="1:25" ht="15.75" customHeight="1" thickBot="1" x14ac:dyDescent="0.3">
      <c r="A9" s="91"/>
      <c r="B9" s="91"/>
      <c r="C9" s="92" t="s">
        <v>5</v>
      </c>
      <c r="D9" s="92"/>
      <c r="E9" s="92"/>
      <c r="F9" s="93"/>
      <c r="G9" s="5"/>
      <c r="H9" s="94" t="s">
        <v>6</v>
      </c>
      <c r="I9" s="95"/>
      <c r="J9" s="95"/>
      <c r="K9" s="96"/>
      <c r="L9" s="5"/>
      <c r="M9" s="6"/>
      <c r="N9" s="5"/>
      <c r="O9" s="5"/>
      <c r="P9" s="5"/>
      <c r="Q9" s="5"/>
      <c r="R9" s="5"/>
      <c r="S9" s="5"/>
      <c r="T9" s="5"/>
      <c r="U9" s="5"/>
      <c r="V9" s="5"/>
    </row>
    <row r="10" spans="1:25" ht="15.75" thickBot="1" x14ac:dyDescent="0.3">
      <c r="A10" s="97" t="s">
        <v>7</v>
      </c>
      <c r="B10" s="97"/>
      <c r="C10" s="98" t="s">
        <v>8</v>
      </c>
      <c r="D10" s="92"/>
      <c r="E10" s="93"/>
      <c r="F10" s="7" t="s">
        <v>9</v>
      </c>
      <c r="G10" s="5"/>
      <c r="H10" s="99" t="s">
        <v>10</v>
      </c>
      <c r="I10" s="92"/>
      <c r="J10" s="93"/>
      <c r="K10" s="7" t="s">
        <v>11</v>
      </c>
      <c r="L10" s="5"/>
      <c r="M10" s="8" t="s">
        <v>12</v>
      </c>
      <c r="N10" s="5"/>
      <c r="O10" s="5"/>
      <c r="P10" s="5"/>
      <c r="Q10" s="5"/>
      <c r="R10" s="5"/>
      <c r="S10" s="5"/>
      <c r="T10" s="5"/>
      <c r="U10" s="5"/>
      <c r="V10" s="5"/>
    </row>
    <row r="11" spans="1:25" ht="72" customHeight="1" thickBot="1" x14ac:dyDescent="0.3">
      <c r="A11" s="91" t="s">
        <v>13</v>
      </c>
      <c r="B11" s="91"/>
      <c r="C11" s="9" t="s">
        <v>14</v>
      </c>
      <c r="D11" s="10" t="s">
        <v>15</v>
      </c>
      <c r="E11" s="10" t="s">
        <v>16</v>
      </c>
      <c r="F11" s="10" t="s">
        <v>17</v>
      </c>
      <c r="G11" s="11"/>
      <c r="H11" s="12" t="s">
        <v>14</v>
      </c>
      <c r="I11" s="10" t="s">
        <v>15</v>
      </c>
      <c r="J11" s="10" t="s">
        <v>16</v>
      </c>
      <c r="K11" s="10" t="s">
        <v>17</v>
      </c>
      <c r="L11" s="11"/>
      <c r="M11" s="8" t="s">
        <v>18</v>
      </c>
      <c r="N11" s="5"/>
      <c r="O11" s="5"/>
      <c r="P11" s="5"/>
      <c r="Q11" s="5"/>
      <c r="R11" s="5"/>
      <c r="S11" s="5"/>
      <c r="T11" s="5"/>
      <c r="U11" s="5"/>
      <c r="V11" s="5"/>
    </row>
    <row r="12" spans="1:25" x14ac:dyDescent="0.25">
      <c r="A12" s="100"/>
      <c r="B12" s="101"/>
      <c r="C12" s="13"/>
      <c r="D12" s="13"/>
      <c r="E12" s="13"/>
      <c r="F12" s="13"/>
      <c r="G12" s="14"/>
      <c r="H12" s="14"/>
      <c r="I12" s="14"/>
      <c r="J12" s="13"/>
      <c r="K12" s="14"/>
      <c r="L12" s="14"/>
      <c r="M12" s="14"/>
      <c r="N12" s="5"/>
      <c r="O12" s="5">
        <v>1</v>
      </c>
      <c r="P12" s="5">
        <v>2</v>
      </c>
      <c r="Q12" s="5">
        <v>6</v>
      </c>
      <c r="R12" s="5">
        <v>7</v>
      </c>
      <c r="S12" s="5">
        <v>3</v>
      </c>
      <c r="T12" s="5">
        <v>4</v>
      </c>
      <c r="U12" s="5">
        <v>5</v>
      </c>
      <c r="V12" s="5"/>
    </row>
    <row r="13" spans="1:25" x14ac:dyDescent="0.25">
      <c r="A13" s="102" t="s">
        <v>19</v>
      </c>
      <c r="B13" s="102"/>
      <c r="C13" s="16"/>
      <c r="D13" s="17"/>
      <c r="E13" s="16"/>
      <c r="F13" s="17">
        <f t="shared" ref="F13:F30" si="0">SUM(C13:E13)</f>
        <v>0</v>
      </c>
      <c r="G13" s="18"/>
      <c r="H13" s="17"/>
      <c r="I13" s="17"/>
      <c r="J13" s="17"/>
      <c r="K13" s="19">
        <f t="shared" ref="K13:K30" si="1">SUM(H13:J13)</f>
        <v>0</v>
      </c>
      <c r="L13" s="18"/>
      <c r="M13" s="19">
        <f t="shared" ref="M13:M30" si="2">F13-K13</f>
        <v>0</v>
      </c>
      <c r="N13" s="5"/>
      <c r="O13" s="5"/>
      <c r="P13" s="5"/>
      <c r="Q13" s="5"/>
      <c r="R13" s="5"/>
      <c r="S13" s="5"/>
      <c r="T13" s="5"/>
      <c r="U13" s="5"/>
      <c r="V13" s="5"/>
    </row>
    <row r="14" spans="1:25" x14ac:dyDescent="0.25">
      <c r="A14" s="103" t="s">
        <v>20</v>
      </c>
      <c r="B14" s="103"/>
      <c r="C14" s="21"/>
      <c r="D14" s="19"/>
      <c r="E14" s="21"/>
      <c r="F14" s="17">
        <f t="shared" si="0"/>
        <v>0</v>
      </c>
      <c r="G14" s="18"/>
      <c r="H14" s="19"/>
      <c r="I14" s="19"/>
      <c r="J14" s="19"/>
      <c r="K14" s="19">
        <f t="shared" si="1"/>
        <v>0</v>
      </c>
      <c r="L14" s="18"/>
      <c r="M14" s="19">
        <f t="shared" si="2"/>
        <v>0</v>
      </c>
      <c r="N14" s="5"/>
      <c r="O14" s="5"/>
      <c r="P14" s="5"/>
      <c r="Q14" s="5"/>
      <c r="R14" s="5"/>
      <c r="S14" s="5"/>
      <c r="T14" s="5"/>
      <c r="U14" s="5"/>
      <c r="V14" s="5"/>
    </row>
    <row r="15" spans="1:25" x14ac:dyDescent="0.25">
      <c r="A15" s="103" t="s">
        <v>21</v>
      </c>
      <c r="B15" s="103"/>
      <c r="C15" s="22"/>
      <c r="D15" s="23"/>
      <c r="E15" s="22"/>
      <c r="F15" s="17">
        <f t="shared" si="0"/>
        <v>0</v>
      </c>
      <c r="G15" s="24"/>
      <c r="H15" s="23"/>
      <c r="I15" s="23"/>
      <c r="J15" s="23"/>
      <c r="K15" s="19">
        <f t="shared" si="1"/>
        <v>0</v>
      </c>
      <c r="L15" s="24"/>
      <c r="M15" s="19">
        <f t="shared" si="2"/>
        <v>0</v>
      </c>
      <c r="N15" s="56"/>
      <c r="O15" s="56"/>
      <c r="P15" s="56"/>
      <c r="Q15" s="56"/>
      <c r="R15" s="56"/>
      <c r="S15" s="56"/>
      <c r="T15" s="56"/>
      <c r="U15" s="56"/>
      <c r="V15" s="56"/>
    </row>
    <row r="16" spans="1:25" x14ac:dyDescent="0.25">
      <c r="A16" s="103" t="s">
        <v>22</v>
      </c>
      <c r="B16" s="103"/>
      <c r="C16" s="26">
        <v>21519548.789999999</v>
      </c>
      <c r="D16" s="27">
        <v>21494413.339999996</v>
      </c>
      <c r="E16" s="27">
        <v>83667.01999999999</v>
      </c>
      <c r="F16" s="17">
        <f t="shared" si="0"/>
        <v>43097629.149999999</v>
      </c>
      <c r="G16" s="18"/>
      <c r="H16" s="28">
        <f>'[3]113'!G147-'[3]113'!H147</f>
        <v>21519548.789999995</v>
      </c>
      <c r="I16" s="28">
        <f>'[3]113'!G148-'[3]113'!H148</f>
        <v>21494413.339999996</v>
      </c>
      <c r="J16" s="28">
        <f>'[3]113'!G149+'[3]113'!G152-'[3]113'!H150-'[3]113'!H151</f>
        <v>-692330.39999999991</v>
      </c>
      <c r="K16" s="19">
        <f t="shared" si="1"/>
        <v>42321631.729999997</v>
      </c>
      <c r="L16" s="18"/>
      <c r="M16" s="19">
        <f t="shared" si="2"/>
        <v>775997.42000000179</v>
      </c>
      <c r="N16" s="62" t="s">
        <v>97</v>
      </c>
      <c r="O16" s="62">
        <f>'[3]113'!H150</f>
        <v>768529.5199999999</v>
      </c>
      <c r="P16" s="62">
        <f>'[3]113'!H151</f>
        <v>7467.9</v>
      </c>
      <c r="Q16" s="62"/>
      <c r="R16" s="62"/>
      <c r="S16" s="62"/>
      <c r="T16" s="62"/>
      <c r="U16" s="62"/>
      <c r="V16" s="62">
        <f>SUM(O16:R16)</f>
        <v>775997.41999999993</v>
      </c>
      <c r="W16" s="70">
        <f t="shared" ref="W16:W30" si="3">C16-H16</f>
        <v>0</v>
      </c>
      <c r="X16" s="30">
        <f t="shared" ref="X16:X30" si="4">D16-I16</f>
        <v>0</v>
      </c>
      <c r="Y16" s="30">
        <f t="shared" ref="Y16:Y30" si="5">E16-J16</f>
        <v>775997.41999999993</v>
      </c>
    </row>
    <row r="17" spans="1:25" x14ac:dyDescent="0.25">
      <c r="A17" s="103" t="s">
        <v>24</v>
      </c>
      <c r="B17" s="103"/>
      <c r="C17" s="26"/>
      <c r="D17" s="27"/>
      <c r="E17" s="27"/>
      <c r="F17" s="17">
        <f t="shared" si="0"/>
        <v>0</v>
      </c>
      <c r="G17" s="18"/>
      <c r="H17" s="28"/>
      <c r="I17" s="28"/>
      <c r="J17" s="28"/>
      <c r="K17" s="19">
        <f t="shared" si="1"/>
        <v>0</v>
      </c>
      <c r="L17" s="18"/>
      <c r="M17" s="19">
        <f t="shared" si="2"/>
        <v>0</v>
      </c>
      <c r="N17" s="5"/>
      <c r="O17" s="5"/>
      <c r="P17" s="5"/>
      <c r="Q17" s="5"/>
      <c r="R17" s="5"/>
      <c r="S17" s="5"/>
      <c r="T17" s="5"/>
      <c r="U17" s="5"/>
      <c r="V17" s="5"/>
      <c r="W17" s="70">
        <f t="shared" si="3"/>
        <v>0</v>
      </c>
      <c r="X17" s="30">
        <f t="shared" si="4"/>
        <v>0</v>
      </c>
      <c r="Y17" s="30">
        <f t="shared" si="5"/>
        <v>0</v>
      </c>
    </row>
    <row r="18" spans="1:25" x14ac:dyDescent="0.25">
      <c r="A18" s="102" t="s">
        <v>25</v>
      </c>
      <c r="B18" s="102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5"/>
      <c r="P18" s="5"/>
      <c r="Q18" s="62"/>
      <c r="R18" s="5"/>
      <c r="S18" s="5"/>
      <c r="T18" s="5"/>
      <c r="U18" s="5"/>
      <c r="V18" s="5"/>
      <c r="W18" s="70">
        <f t="shared" si="3"/>
        <v>0</v>
      </c>
      <c r="X18" s="30">
        <f t="shared" si="4"/>
        <v>0</v>
      </c>
      <c r="Y18" s="30">
        <f t="shared" si="5"/>
        <v>0</v>
      </c>
    </row>
    <row r="19" spans="1:25" x14ac:dyDescent="0.25">
      <c r="A19" s="103" t="s">
        <v>26</v>
      </c>
      <c r="B19" s="103"/>
      <c r="C19" s="26">
        <v>5346065.82</v>
      </c>
      <c r="D19" s="27">
        <v>5401840.7799999993</v>
      </c>
      <c r="E19" s="27"/>
      <c r="F19" s="17">
        <f t="shared" si="0"/>
        <v>10747906.6</v>
      </c>
      <c r="G19" s="18"/>
      <c r="H19" s="28">
        <f>'[3]121'!F47</f>
        <v>5346065.82</v>
      </c>
      <c r="I19" s="28">
        <f>'[3]121'!F48-'[3]121'!G48</f>
        <v>5401840.7799999993</v>
      </c>
      <c r="J19" s="28">
        <f>-'[3]121'!G50</f>
        <v>-36500</v>
      </c>
      <c r="K19" s="19">
        <f t="shared" si="1"/>
        <v>10711406.6</v>
      </c>
      <c r="L19" s="18"/>
      <c r="M19" s="19">
        <f t="shared" si="2"/>
        <v>36500</v>
      </c>
      <c r="N19" s="29" t="s">
        <v>110</v>
      </c>
      <c r="O19" s="29"/>
      <c r="P19" s="29"/>
      <c r="Q19" s="62">
        <f>'[3]121'!G50</f>
        <v>36500</v>
      </c>
      <c r="R19" s="29"/>
      <c r="S19" s="29"/>
      <c r="T19" s="29"/>
      <c r="U19" s="29"/>
      <c r="V19" s="62">
        <f>SUM(O19:R19)</f>
        <v>36500</v>
      </c>
      <c r="W19" s="70">
        <f t="shared" si="3"/>
        <v>0</v>
      </c>
      <c r="X19" s="30">
        <f t="shared" si="4"/>
        <v>0</v>
      </c>
      <c r="Y19" s="30">
        <f t="shared" si="5"/>
        <v>36500</v>
      </c>
    </row>
    <row r="20" spans="1:25" x14ac:dyDescent="0.25">
      <c r="A20" s="103" t="s">
        <v>27</v>
      </c>
      <c r="B20" s="103"/>
      <c r="C20" s="26"/>
      <c r="D20" s="27"/>
      <c r="E20" s="27"/>
      <c r="F20" s="17">
        <f t="shared" si="0"/>
        <v>0</v>
      </c>
      <c r="G20" s="24"/>
      <c r="H20" s="28"/>
      <c r="I20" s="28"/>
      <c r="J20" s="28"/>
      <c r="K20" s="19">
        <f t="shared" si="1"/>
        <v>0</v>
      </c>
      <c r="L20" s="24"/>
      <c r="M20" s="19">
        <f t="shared" si="2"/>
        <v>0</v>
      </c>
      <c r="N20" s="56"/>
      <c r="O20" s="56"/>
      <c r="P20" s="56"/>
      <c r="Q20" s="56"/>
      <c r="R20" s="56"/>
      <c r="S20" s="56"/>
      <c r="T20" s="56"/>
      <c r="U20" s="56"/>
      <c r="V20" s="56"/>
      <c r="W20" s="70">
        <f t="shared" si="3"/>
        <v>0</v>
      </c>
      <c r="X20" s="30">
        <f t="shared" si="4"/>
        <v>0</v>
      </c>
      <c r="Y20" s="30">
        <f t="shared" si="5"/>
        <v>0</v>
      </c>
    </row>
    <row r="21" spans="1:25" x14ac:dyDescent="0.25">
      <c r="A21" s="103" t="s">
        <v>28</v>
      </c>
      <c r="B21" s="103"/>
      <c r="C21" s="26"/>
      <c r="D21" s="27"/>
      <c r="E21" s="27"/>
      <c r="F21" s="17">
        <f t="shared" si="0"/>
        <v>0</v>
      </c>
      <c r="G21" s="18"/>
      <c r="H21" s="28"/>
      <c r="I21" s="28"/>
      <c r="J21" s="28"/>
      <c r="K21" s="19">
        <f t="shared" si="1"/>
        <v>0</v>
      </c>
      <c r="L21" s="18"/>
      <c r="M21" s="19">
        <f t="shared" si="2"/>
        <v>0</v>
      </c>
      <c r="N21" s="5"/>
      <c r="O21" s="5"/>
      <c r="P21" s="5"/>
      <c r="Q21" s="5"/>
      <c r="R21" s="5"/>
      <c r="S21" s="5"/>
      <c r="T21" s="5"/>
      <c r="U21" s="5"/>
      <c r="V21" s="5"/>
      <c r="W21" s="70">
        <f t="shared" si="3"/>
        <v>0</v>
      </c>
      <c r="X21" s="30">
        <f t="shared" si="4"/>
        <v>0</v>
      </c>
      <c r="Y21" s="30">
        <f t="shared" si="5"/>
        <v>0</v>
      </c>
    </row>
    <row r="22" spans="1:25" x14ac:dyDescent="0.25">
      <c r="A22" s="102" t="s">
        <v>29</v>
      </c>
      <c r="B22" s="102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5"/>
      <c r="P22" s="5"/>
      <c r="Q22" s="5"/>
      <c r="R22" s="5"/>
      <c r="S22" s="5"/>
      <c r="T22" s="5"/>
      <c r="U22" s="5"/>
      <c r="V22" s="5"/>
      <c r="W22" s="70">
        <f t="shared" si="3"/>
        <v>0</v>
      </c>
      <c r="X22" s="30">
        <f t="shared" si="4"/>
        <v>0</v>
      </c>
      <c r="Y22" s="30">
        <f t="shared" si="5"/>
        <v>0</v>
      </c>
    </row>
    <row r="23" spans="1:25" x14ac:dyDescent="0.25">
      <c r="A23" s="103" t="s">
        <v>30</v>
      </c>
      <c r="B23" s="103"/>
      <c r="C23" s="26">
        <v>2831365.5700000003</v>
      </c>
      <c r="D23" s="27">
        <v>2841634.0199999996</v>
      </c>
      <c r="E23" s="27"/>
      <c r="F23" s="17">
        <f t="shared" si="0"/>
        <v>5672999.5899999999</v>
      </c>
      <c r="G23" s="24"/>
      <c r="H23" s="28">
        <f>'[3]131'!F48</f>
        <v>2831365.5700000003</v>
      </c>
      <c r="I23" s="28">
        <f>'[3]131'!F49</f>
        <v>2841634.0199999996</v>
      </c>
      <c r="J23" s="28">
        <f>-'[3]131'!G50-'[3]131'!G51</f>
        <v>-126456.7</v>
      </c>
      <c r="K23" s="19">
        <f t="shared" si="1"/>
        <v>5546542.8899999997</v>
      </c>
      <c r="L23" s="24"/>
      <c r="M23" s="19">
        <f t="shared" si="2"/>
        <v>126456.70000000019</v>
      </c>
      <c r="N23" s="62" t="s">
        <v>97</v>
      </c>
      <c r="O23" s="62">
        <f>'[3]131'!G51</f>
        <v>125709.9</v>
      </c>
      <c r="P23" s="62">
        <f>'[3]131'!G50</f>
        <v>746.8</v>
      </c>
      <c r="Q23" s="62"/>
      <c r="R23" s="62"/>
      <c r="S23" s="62"/>
      <c r="T23" s="62"/>
      <c r="U23" s="62"/>
      <c r="V23" s="62">
        <f>SUM(O23:R23)</f>
        <v>126456.7</v>
      </c>
      <c r="W23" s="70">
        <f t="shared" si="3"/>
        <v>0</v>
      </c>
      <c r="X23" s="30">
        <f t="shared" si="4"/>
        <v>0</v>
      </c>
      <c r="Y23" s="30">
        <f t="shared" si="5"/>
        <v>126456.7</v>
      </c>
    </row>
    <row r="24" spans="1:25" x14ac:dyDescent="0.25">
      <c r="A24" s="103" t="s">
        <v>31</v>
      </c>
      <c r="B24" s="103"/>
      <c r="C24" s="26"/>
      <c r="D24" s="27"/>
      <c r="E24" s="27">
        <v>236489.49000000005</v>
      </c>
      <c r="F24" s="17">
        <f t="shared" si="0"/>
        <v>236489.49000000005</v>
      </c>
      <c r="G24" s="18"/>
      <c r="H24" s="28"/>
      <c r="I24" s="28"/>
      <c r="J24" s="28">
        <f>'[3]132'!G69</f>
        <v>236489.49000000005</v>
      </c>
      <c r="K24" s="19">
        <f t="shared" si="1"/>
        <v>236489.49000000005</v>
      </c>
      <c r="L24" s="18"/>
      <c r="M24" s="19">
        <f t="shared" si="2"/>
        <v>0</v>
      </c>
      <c r="N24" s="62"/>
      <c r="O24" s="62"/>
      <c r="P24" s="62"/>
      <c r="Q24" s="62"/>
      <c r="R24" s="62"/>
      <c r="S24" s="62"/>
      <c r="T24" s="62"/>
      <c r="U24" s="62"/>
      <c r="V24" s="62"/>
      <c r="W24" s="70">
        <f t="shared" si="3"/>
        <v>0</v>
      </c>
      <c r="X24" s="30">
        <f t="shared" si="4"/>
        <v>0</v>
      </c>
      <c r="Y24" s="30">
        <f t="shared" si="5"/>
        <v>0</v>
      </c>
    </row>
    <row r="25" spans="1:25" x14ac:dyDescent="0.25">
      <c r="A25" s="103" t="s">
        <v>32</v>
      </c>
      <c r="B25" s="103"/>
      <c r="C25" s="26"/>
      <c r="D25" s="27"/>
      <c r="E25" s="27"/>
      <c r="F25" s="17">
        <f t="shared" si="0"/>
        <v>0</v>
      </c>
      <c r="G25" s="18"/>
      <c r="H25" s="28"/>
      <c r="I25" s="28"/>
      <c r="J25" s="28"/>
      <c r="K25" s="19">
        <f t="shared" si="1"/>
        <v>0</v>
      </c>
      <c r="L25" s="18"/>
      <c r="M25" s="19">
        <f t="shared" si="2"/>
        <v>0</v>
      </c>
      <c r="N25" s="5"/>
      <c r="O25" s="5"/>
      <c r="P25" s="5"/>
      <c r="Q25" s="5"/>
      <c r="R25" s="5"/>
      <c r="S25" s="5"/>
      <c r="T25" s="5"/>
      <c r="U25" s="5"/>
      <c r="V25" s="5"/>
      <c r="W25" s="70">
        <f t="shared" si="3"/>
        <v>0</v>
      </c>
      <c r="X25" s="30">
        <f t="shared" si="4"/>
        <v>0</v>
      </c>
      <c r="Y25" s="30">
        <f t="shared" si="5"/>
        <v>0</v>
      </c>
    </row>
    <row r="26" spans="1:25" x14ac:dyDescent="0.25">
      <c r="A26" s="103" t="s">
        <v>33</v>
      </c>
      <c r="B26" s="103"/>
      <c r="C26" s="26">
        <v>736623.08000000007</v>
      </c>
      <c r="D26" s="27">
        <v>765126.83000000007</v>
      </c>
      <c r="E26" s="27"/>
      <c r="F26" s="17">
        <f t="shared" si="0"/>
        <v>1501749.9100000001</v>
      </c>
      <c r="G26" s="18"/>
      <c r="H26" s="28">
        <f>'[3]134'!F69</f>
        <v>736623.08000000007</v>
      </c>
      <c r="I26" s="28">
        <f>'[3]134'!F70</f>
        <v>765126.83000000007</v>
      </c>
      <c r="J26" s="28">
        <f>-'[3]134'!G71</f>
        <v>-25931.119999999999</v>
      </c>
      <c r="K26" s="19">
        <f t="shared" si="1"/>
        <v>1475818.79</v>
      </c>
      <c r="L26" s="18"/>
      <c r="M26" s="19">
        <f t="shared" si="2"/>
        <v>25931.120000000112</v>
      </c>
      <c r="N26" s="29" t="s">
        <v>23</v>
      </c>
      <c r="O26" s="62">
        <f>'[3]134'!G71</f>
        <v>25931.119999999999</v>
      </c>
      <c r="P26" s="29"/>
      <c r="Q26" s="29"/>
      <c r="R26" s="29"/>
      <c r="S26" s="29"/>
      <c r="T26" s="29"/>
      <c r="U26" s="29"/>
      <c r="V26" s="62">
        <f>SUM(O26:R26)</f>
        <v>25931.119999999999</v>
      </c>
      <c r="W26" s="70">
        <f t="shared" si="3"/>
        <v>0</v>
      </c>
      <c r="X26" s="30">
        <f t="shared" si="4"/>
        <v>0</v>
      </c>
      <c r="Y26" s="30">
        <f t="shared" si="5"/>
        <v>25931.119999999999</v>
      </c>
    </row>
    <row r="27" spans="1:25" x14ac:dyDescent="0.25">
      <c r="A27" s="103" t="s">
        <v>34</v>
      </c>
      <c r="B27" s="103"/>
      <c r="C27" s="26"/>
      <c r="D27" s="27"/>
      <c r="E27" s="27"/>
      <c r="F27" s="17">
        <f t="shared" si="0"/>
        <v>0</v>
      </c>
      <c r="G27" s="18"/>
      <c r="H27" s="28"/>
      <c r="I27" s="28"/>
      <c r="J27" s="28"/>
      <c r="K27" s="19">
        <f t="shared" si="1"/>
        <v>0</v>
      </c>
      <c r="L27" s="18"/>
      <c r="M27" s="19">
        <f t="shared" si="2"/>
        <v>0</v>
      </c>
      <c r="N27" s="5"/>
      <c r="O27" s="5"/>
      <c r="P27" s="5"/>
      <c r="Q27" s="5"/>
      <c r="R27" s="5"/>
      <c r="S27" s="5"/>
      <c r="T27" s="5"/>
      <c r="U27" s="5"/>
      <c r="V27" s="5"/>
      <c r="W27" s="70">
        <f t="shared" si="3"/>
        <v>0</v>
      </c>
      <c r="X27" s="30">
        <f t="shared" si="4"/>
        <v>0</v>
      </c>
      <c r="Y27" s="30">
        <f t="shared" si="5"/>
        <v>0</v>
      </c>
    </row>
    <row r="28" spans="1:25" x14ac:dyDescent="0.25">
      <c r="A28" s="104" t="s">
        <v>35</v>
      </c>
      <c r="B28" s="104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5"/>
      <c r="P28" s="5"/>
      <c r="Q28" s="5"/>
      <c r="R28" s="5"/>
      <c r="S28" s="5"/>
      <c r="T28" s="5"/>
      <c r="U28" s="5"/>
      <c r="V28" s="5"/>
      <c r="W28" s="70">
        <f t="shared" si="3"/>
        <v>0</v>
      </c>
      <c r="X28" s="30">
        <f t="shared" si="4"/>
        <v>0</v>
      </c>
      <c r="Y28" s="30">
        <f t="shared" si="5"/>
        <v>0</v>
      </c>
    </row>
    <row r="29" spans="1:25" x14ac:dyDescent="0.25">
      <c r="A29" s="104" t="s">
        <v>36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5"/>
      <c r="P29" s="5"/>
      <c r="Q29" s="5"/>
      <c r="R29" s="5"/>
      <c r="S29" s="5"/>
      <c r="T29" s="5"/>
      <c r="U29" s="5"/>
      <c r="V29" s="5"/>
      <c r="W29" s="70">
        <f t="shared" si="3"/>
        <v>0</v>
      </c>
      <c r="X29" s="30">
        <f t="shared" si="4"/>
        <v>0</v>
      </c>
      <c r="Y29" s="30">
        <f t="shared" si="5"/>
        <v>0</v>
      </c>
    </row>
    <row r="30" spans="1:25" x14ac:dyDescent="0.25">
      <c r="A30" s="102" t="s">
        <v>71</v>
      </c>
      <c r="B30" s="102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5"/>
      <c r="P30" s="5"/>
      <c r="Q30" s="5"/>
      <c r="R30" s="5"/>
      <c r="S30" s="5"/>
      <c r="T30" s="5"/>
      <c r="U30" s="5"/>
      <c r="V30" s="5"/>
      <c r="W30" s="70">
        <f t="shared" si="3"/>
        <v>0</v>
      </c>
      <c r="X30" s="30">
        <f t="shared" si="4"/>
        <v>0</v>
      </c>
      <c r="Y30" s="30">
        <f t="shared" si="5"/>
        <v>0</v>
      </c>
    </row>
    <row r="31" spans="1:25" x14ac:dyDescent="0.25">
      <c r="A31" s="61"/>
      <c r="B31" s="34"/>
      <c r="C31" s="26"/>
      <c r="D31" s="27"/>
      <c r="E31" s="27"/>
      <c r="F31" s="17"/>
      <c r="G31" s="18"/>
      <c r="H31" s="28"/>
      <c r="I31" s="28"/>
      <c r="J31" s="28"/>
      <c r="K31" s="19"/>
      <c r="L31" s="18"/>
      <c r="M31" s="19"/>
      <c r="N31" s="5"/>
      <c r="O31" s="5"/>
      <c r="P31" s="5"/>
      <c r="Q31" s="5"/>
      <c r="R31" s="5"/>
      <c r="S31" s="5"/>
      <c r="T31" s="5"/>
      <c r="U31" s="5"/>
      <c r="V31" s="5"/>
      <c r="W31" s="70"/>
      <c r="X31" s="30"/>
      <c r="Y31" s="30"/>
    </row>
    <row r="32" spans="1:25" x14ac:dyDescent="0.25">
      <c r="A32" s="61"/>
      <c r="B32" s="34"/>
      <c r="C32" s="26"/>
      <c r="D32" s="27"/>
      <c r="E32" s="27"/>
      <c r="F32" s="17"/>
      <c r="G32" s="18"/>
      <c r="H32" s="28"/>
      <c r="I32" s="28"/>
      <c r="J32" s="28"/>
      <c r="K32" s="19"/>
      <c r="L32" s="18"/>
      <c r="M32" s="19"/>
      <c r="N32" s="5"/>
      <c r="O32" s="5"/>
      <c r="P32" s="5"/>
      <c r="Q32" s="5"/>
      <c r="R32" s="5"/>
      <c r="S32" s="5"/>
      <c r="T32" s="5"/>
      <c r="U32" s="5"/>
      <c r="V32" s="5"/>
      <c r="W32" s="70"/>
      <c r="X32" s="30"/>
      <c r="Y32" s="30"/>
    </row>
    <row r="33" spans="1:25" x14ac:dyDescent="0.25">
      <c r="A33" s="33" t="s">
        <v>38</v>
      </c>
      <c r="B33" s="34"/>
      <c r="C33" s="26">
        <v>3357241.99</v>
      </c>
      <c r="D33" s="27">
        <v>3357923.8600000003</v>
      </c>
      <c r="E33" s="27"/>
      <c r="F33" s="17">
        <f t="shared" ref="F33:F48" si="6">SUM(C33:E33)</f>
        <v>6715165.8500000006</v>
      </c>
      <c r="G33" s="18"/>
      <c r="H33" s="28">
        <f>'[3]141'!G42</f>
        <v>3357241.99</v>
      </c>
      <c r="I33" s="28">
        <f>'[3]141'!G43</f>
        <v>3357923.8600000003</v>
      </c>
      <c r="J33" s="28">
        <f>-'[3]141'!H44-'[3]141'!H45+'[3]141'!G46</f>
        <v>-119209.00000000001</v>
      </c>
      <c r="K33" s="19">
        <f t="shared" ref="K33:K49" si="7">SUM(H33:J33)</f>
        <v>6595956.8500000006</v>
      </c>
      <c r="L33" s="18"/>
      <c r="M33" s="19">
        <f t="shared" ref="M33:M50" si="8">F33-K33</f>
        <v>119209</v>
      </c>
      <c r="N33" s="62" t="s">
        <v>109</v>
      </c>
      <c r="O33" s="62">
        <f>'[3]141'!H45</f>
        <v>119774.52000000002</v>
      </c>
      <c r="P33" s="62">
        <f>'[3]141'!H44</f>
        <v>1131</v>
      </c>
      <c r="Q33" s="62"/>
      <c r="R33" s="62">
        <f>-'[3]141'!G46</f>
        <v>-1696.52</v>
      </c>
      <c r="S33" s="62"/>
      <c r="T33" s="62"/>
      <c r="U33" s="62"/>
      <c r="V33" s="62">
        <f>SUM(O33:R33)</f>
        <v>119209.00000000001</v>
      </c>
      <c r="W33" s="70">
        <f t="shared" ref="W33:W48" si="9">C33-H33</f>
        <v>0</v>
      </c>
      <c r="X33" s="30">
        <f t="shared" ref="X33:X48" si="10">D33-I33</f>
        <v>0</v>
      </c>
      <c r="Y33" s="30">
        <f t="shared" ref="Y33:Y48" si="11">E33-J33</f>
        <v>119209.00000000001</v>
      </c>
    </row>
    <row r="34" spans="1:25" x14ac:dyDescent="0.25">
      <c r="A34" s="33" t="s">
        <v>39</v>
      </c>
      <c r="B34" s="34"/>
      <c r="C34" s="26">
        <v>1108380.1599999999</v>
      </c>
      <c r="D34" s="27">
        <v>1108605.27</v>
      </c>
      <c r="E34" s="27">
        <v>560.1</v>
      </c>
      <c r="F34" s="17">
        <f t="shared" si="6"/>
        <v>2217545.5299999998</v>
      </c>
      <c r="G34" s="18"/>
      <c r="H34" s="28">
        <f>'[3]142'!F31</f>
        <v>1108380.1599999999</v>
      </c>
      <c r="I34" s="28">
        <f>'[3]142'!F32</f>
        <v>1108605.27</v>
      </c>
      <c r="J34" s="28">
        <f>'[3]142'!F35-'[3]142'!G33-'[3]142'!G34</f>
        <v>-39356.04</v>
      </c>
      <c r="K34" s="19">
        <f t="shared" si="7"/>
        <v>2177629.3899999997</v>
      </c>
      <c r="L34" s="18"/>
      <c r="M34" s="19">
        <f t="shared" si="8"/>
        <v>39916.14000000013</v>
      </c>
      <c r="N34" s="62" t="s">
        <v>97</v>
      </c>
      <c r="O34" s="62">
        <f>'[3]142'!G34</f>
        <v>39542.74</v>
      </c>
      <c r="P34" s="62">
        <f>'[3]142'!G33</f>
        <v>373.4</v>
      </c>
      <c r="Q34" s="62"/>
      <c r="R34" s="62"/>
      <c r="S34" s="62"/>
      <c r="T34" s="62"/>
      <c r="U34" s="62"/>
      <c r="V34" s="62">
        <f>SUM(O34:R34)</f>
        <v>39916.14</v>
      </c>
      <c r="W34" s="70">
        <f t="shared" si="9"/>
        <v>0</v>
      </c>
      <c r="X34" s="30">
        <f t="shared" si="10"/>
        <v>0</v>
      </c>
      <c r="Y34" s="30">
        <f t="shared" si="11"/>
        <v>39916.14</v>
      </c>
    </row>
    <row r="35" spans="1:25" x14ac:dyDescent="0.25">
      <c r="A35" s="35" t="s">
        <v>40</v>
      </c>
      <c r="B35" s="36"/>
      <c r="C35" s="26">
        <v>237866.45</v>
      </c>
      <c r="D35" s="27">
        <v>238818.66</v>
      </c>
      <c r="E35" s="27"/>
      <c r="F35" s="17">
        <f t="shared" si="6"/>
        <v>476685.11</v>
      </c>
      <c r="G35" s="18"/>
      <c r="H35" s="28">
        <f>'[3]143'!F24</f>
        <v>237866.45</v>
      </c>
      <c r="I35" s="28">
        <f>'[3]143'!F25</f>
        <v>238818.66</v>
      </c>
      <c r="J35" s="28">
        <f>-'[3]143'!G26</f>
        <v>-13868.779999999999</v>
      </c>
      <c r="K35" s="19">
        <f t="shared" si="7"/>
        <v>462816.32999999996</v>
      </c>
      <c r="L35" s="18"/>
      <c r="M35" s="19">
        <f t="shared" si="8"/>
        <v>13868.780000000028</v>
      </c>
      <c r="N35" s="29" t="s">
        <v>23</v>
      </c>
      <c r="O35" s="62">
        <f>'[3]143'!G26</f>
        <v>13868.779999999999</v>
      </c>
      <c r="P35" s="29"/>
      <c r="Q35" s="29"/>
      <c r="R35" s="29"/>
      <c r="S35" s="29"/>
      <c r="T35" s="29"/>
      <c r="U35" s="29"/>
      <c r="V35" s="62">
        <f>SUM(O35:R35)</f>
        <v>13868.779999999999</v>
      </c>
      <c r="W35" s="70">
        <f t="shared" si="9"/>
        <v>0</v>
      </c>
      <c r="X35" s="30">
        <f t="shared" si="10"/>
        <v>0</v>
      </c>
      <c r="Y35" s="30">
        <f t="shared" si="11"/>
        <v>13868.779999999999</v>
      </c>
    </row>
    <row r="36" spans="1:25" x14ac:dyDescent="0.25">
      <c r="A36" s="35" t="s">
        <v>41</v>
      </c>
      <c r="B36" s="36"/>
      <c r="C36" s="26"/>
      <c r="D36" s="27"/>
      <c r="E36" s="27"/>
      <c r="F36" s="17">
        <f t="shared" si="6"/>
        <v>0</v>
      </c>
      <c r="G36" s="18"/>
      <c r="H36" s="28"/>
      <c r="I36" s="28"/>
      <c r="J36" s="28"/>
      <c r="K36" s="19">
        <f t="shared" si="7"/>
        <v>0</v>
      </c>
      <c r="L36" s="18"/>
      <c r="M36" s="19">
        <f t="shared" si="8"/>
        <v>0</v>
      </c>
      <c r="N36" s="5"/>
      <c r="O36" s="5"/>
      <c r="P36" s="5"/>
      <c r="Q36" s="5"/>
      <c r="R36" s="5"/>
      <c r="S36" s="5"/>
      <c r="T36" s="5"/>
      <c r="U36" s="5"/>
      <c r="V36" s="5"/>
      <c r="W36" s="70">
        <f t="shared" si="9"/>
        <v>0</v>
      </c>
      <c r="X36" s="30">
        <f t="shared" si="10"/>
        <v>0</v>
      </c>
      <c r="Y36" s="30">
        <f t="shared" si="11"/>
        <v>0</v>
      </c>
    </row>
    <row r="37" spans="1:25" x14ac:dyDescent="0.25">
      <c r="A37" s="102" t="s">
        <v>43</v>
      </c>
      <c r="B37" s="102"/>
      <c r="C37" s="26"/>
      <c r="D37" s="27"/>
      <c r="E37" s="27"/>
      <c r="F37" s="17">
        <f t="shared" si="6"/>
        <v>0</v>
      </c>
      <c r="G37" s="18"/>
      <c r="H37" s="28"/>
      <c r="I37" s="28"/>
      <c r="J37" s="28"/>
      <c r="K37" s="19">
        <f t="shared" si="7"/>
        <v>0</v>
      </c>
      <c r="L37" s="18"/>
      <c r="M37" s="19">
        <f t="shared" si="8"/>
        <v>0</v>
      </c>
      <c r="N37" s="5"/>
      <c r="O37" s="5"/>
      <c r="P37" s="5"/>
      <c r="Q37" s="5"/>
      <c r="R37" s="5"/>
      <c r="S37" s="5"/>
      <c r="T37" s="5"/>
      <c r="U37" s="5"/>
      <c r="V37" s="5"/>
      <c r="W37" s="70">
        <f t="shared" si="9"/>
        <v>0</v>
      </c>
      <c r="X37" s="30">
        <f t="shared" si="10"/>
        <v>0</v>
      </c>
      <c r="Y37" s="30">
        <f t="shared" si="11"/>
        <v>0</v>
      </c>
    </row>
    <row r="38" spans="1:25" x14ac:dyDescent="0.25">
      <c r="A38" s="103" t="s">
        <v>44</v>
      </c>
      <c r="B38" s="103"/>
      <c r="C38" s="26"/>
      <c r="D38" s="27"/>
      <c r="E38" s="27"/>
      <c r="F38" s="17">
        <f t="shared" si="6"/>
        <v>0</v>
      </c>
      <c r="G38" s="18"/>
      <c r="H38" s="28"/>
      <c r="I38" s="28"/>
      <c r="J38" s="28"/>
      <c r="K38" s="19">
        <f t="shared" si="7"/>
        <v>0</v>
      </c>
      <c r="L38" s="18"/>
      <c r="M38" s="19">
        <f t="shared" si="8"/>
        <v>0</v>
      </c>
      <c r="N38" s="5"/>
      <c r="O38" s="5"/>
      <c r="P38" s="5"/>
      <c r="Q38" s="5"/>
      <c r="R38" s="5"/>
      <c r="S38" s="5"/>
      <c r="T38" s="5"/>
      <c r="U38" s="5"/>
      <c r="V38" s="5"/>
      <c r="W38" s="70">
        <f t="shared" si="9"/>
        <v>0</v>
      </c>
      <c r="X38" s="30">
        <f t="shared" si="10"/>
        <v>0</v>
      </c>
      <c r="Y38" s="30">
        <f t="shared" si="11"/>
        <v>0</v>
      </c>
    </row>
    <row r="39" spans="1:25" x14ac:dyDescent="0.25">
      <c r="A39" s="103" t="s">
        <v>45</v>
      </c>
      <c r="B39" s="103"/>
      <c r="C39" s="26"/>
      <c r="D39" s="27"/>
      <c r="E39" s="27">
        <v>1696493.19</v>
      </c>
      <c r="F39" s="17">
        <f t="shared" si="6"/>
        <v>1696493.19</v>
      </c>
      <c r="G39" s="18"/>
      <c r="H39" s="28"/>
      <c r="I39" s="28"/>
      <c r="J39" s="28">
        <f>'[3]152'!F45+'[3]152'!F46</f>
        <v>2071759.2700000003</v>
      </c>
      <c r="K39" s="19">
        <f t="shared" si="7"/>
        <v>2071759.2700000003</v>
      </c>
      <c r="L39" s="18"/>
      <c r="M39" s="19">
        <f t="shared" si="8"/>
        <v>-375266.08000000031</v>
      </c>
      <c r="N39" s="29" t="s">
        <v>46</v>
      </c>
      <c r="O39" s="29"/>
      <c r="P39" s="29"/>
      <c r="Q39" s="29"/>
      <c r="R39" s="29"/>
      <c r="S39" s="62">
        <f>-'[3]152'!F45</f>
        <v>-375266.08</v>
      </c>
      <c r="T39" s="62"/>
      <c r="U39" s="62"/>
      <c r="V39" s="62">
        <f>SUM(O39:S39)</f>
        <v>-375266.08</v>
      </c>
      <c r="W39" s="70">
        <f t="shared" si="9"/>
        <v>0</v>
      </c>
      <c r="X39" s="30">
        <f t="shared" si="10"/>
        <v>0</v>
      </c>
      <c r="Y39" s="30">
        <f t="shared" si="11"/>
        <v>-375266.08000000031</v>
      </c>
    </row>
    <row r="40" spans="1:25" x14ac:dyDescent="0.25">
      <c r="A40" s="103" t="s">
        <v>47</v>
      </c>
      <c r="B40" s="103"/>
      <c r="C40" s="26"/>
      <c r="D40" s="27"/>
      <c r="E40" s="27">
        <v>524463.54</v>
      </c>
      <c r="F40" s="17">
        <f t="shared" si="6"/>
        <v>524463.54</v>
      </c>
      <c r="G40" s="18"/>
      <c r="H40" s="28"/>
      <c r="I40" s="28"/>
      <c r="J40" s="28">
        <f>'[3]153'!F47+'[3]153'!F49-'[3]153'!G48</f>
        <v>485961.28</v>
      </c>
      <c r="K40" s="19">
        <f t="shared" si="7"/>
        <v>485961.28</v>
      </c>
      <c r="L40" s="18"/>
      <c r="M40" s="19">
        <f t="shared" si="8"/>
        <v>38502.260000000009</v>
      </c>
      <c r="N40" s="62" t="s">
        <v>98</v>
      </c>
      <c r="O40" s="62">
        <f>'[3]153'!G48</f>
        <v>2636.26</v>
      </c>
      <c r="P40" s="62"/>
      <c r="Q40" s="62"/>
      <c r="R40" s="62"/>
      <c r="S40" s="62"/>
      <c r="T40" s="62"/>
      <c r="U40" s="62">
        <f>-'[3]153'!F47</f>
        <v>35866</v>
      </c>
      <c r="V40" s="62">
        <f>SUM(O40:U40)</f>
        <v>38502.26</v>
      </c>
      <c r="W40" s="70">
        <f t="shared" si="9"/>
        <v>0</v>
      </c>
      <c r="X40" s="30">
        <f t="shared" si="10"/>
        <v>0</v>
      </c>
      <c r="Y40" s="30">
        <f t="shared" si="11"/>
        <v>38502.260000000009</v>
      </c>
    </row>
    <row r="41" spans="1:25" x14ac:dyDescent="0.25">
      <c r="A41" s="103" t="s">
        <v>48</v>
      </c>
      <c r="B41" s="103"/>
      <c r="C41" s="26">
        <v>37084523.420000002</v>
      </c>
      <c r="D41" s="27">
        <v>38532793.470000006</v>
      </c>
      <c r="E41" s="27">
        <v>2533896.8099999996</v>
      </c>
      <c r="F41" s="17">
        <f t="shared" si="6"/>
        <v>78151213.700000018</v>
      </c>
      <c r="G41" s="18"/>
      <c r="H41" s="28">
        <f>'[3]154'!G115-'[3]154'!H115</f>
        <v>37084523.420000002</v>
      </c>
      <c r="I41" s="28">
        <f>'[3]154'!G116-'[3]154'!H116</f>
        <v>38532793.469999999</v>
      </c>
      <c r="J41" s="28">
        <f>'[3]154'!G117+'[3]154'!G118+'[3]154'!G121-'[3]154'!H117-'[3]154'!H119-'[3]154'!H120</f>
        <v>2359238.87</v>
      </c>
      <c r="K41" s="19">
        <f t="shared" si="7"/>
        <v>77976555.760000005</v>
      </c>
      <c r="L41" s="18"/>
      <c r="M41" s="19">
        <f t="shared" si="8"/>
        <v>174657.94000001252</v>
      </c>
      <c r="N41" s="62" t="s">
        <v>108</v>
      </c>
      <c r="O41" s="62">
        <f>'[3]154'!H120</f>
        <v>948645.37999999989</v>
      </c>
      <c r="P41" s="62">
        <f>'[3]154'!H119</f>
        <v>19640.560000000001</v>
      </c>
      <c r="Q41" s="62"/>
      <c r="R41" s="62"/>
      <c r="S41" s="62"/>
      <c r="T41" s="62">
        <f>-'[3]154'!G121</f>
        <v>-793628</v>
      </c>
      <c r="U41" s="62"/>
      <c r="V41" s="62">
        <f>SUM(O41:T41)</f>
        <v>174657.93999999994</v>
      </c>
      <c r="W41" s="70">
        <f t="shared" si="9"/>
        <v>0</v>
      </c>
      <c r="X41" s="30">
        <f t="shared" si="10"/>
        <v>0</v>
      </c>
      <c r="Y41" s="30">
        <f t="shared" si="11"/>
        <v>174657.93999999948</v>
      </c>
    </row>
    <row r="42" spans="1:25" x14ac:dyDescent="0.25">
      <c r="A42" s="103" t="s">
        <v>49</v>
      </c>
      <c r="B42" s="103"/>
      <c r="C42" s="26"/>
      <c r="D42" s="27"/>
      <c r="E42" s="27"/>
      <c r="F42" s="17">
        <f t="shared" si="6"/>
        <v>0</v>
      </c>
      <c r="G42" s="18"/>
      <c r="H42" s="28"/>
      <c r="I42" s="28"/>
      <c r="J42" s="28"/>
      <c r="K42" s="19">
        <f t="shared" si="7"/>
        <v>0</v>
      </c>
      <c r="L42" s="18"/>
      <c r="M42" s="19">
        <f t="shared" si="8"/>
        <v>0</v>
      </c>
      <c r="N42" s="5"/>
      <c r="O42" s="5"/>
      <c r="P42" s="5"/>
      <c r="Q42" s="5"/>
      <c r="R42" s="5"/>
      <c r="S42" s="5"/>
      <c r="T42" s="5"/>
      <c r="U42" s="5"/>
      <c r="V42" s="5"/>
      <c r="W42" s="70">
        <f t="shared" si="9"/>
        <v>0</v>
      </c>
      <c r="X42" s="30">
        <f t="shared" si="10"/>
        <v>0</v>
      </c>
      <c r="Y42" s="30">
        <f t="shared" si="11"/>
        <v>0</v>
      </c>
    </row>
    <row r="43" spans="1:25" x14ac:dyDescent="0.25">
      <c r="A43" s="103" t="s">
        <v>50</v>
      </c>
      <c r="B43" s="103"/>
      <c r="C43" s="26"/>
      <c r="D43" s="27"/>
      <c r="E43" s="27"/>
      <c r="F43" s="17">
        <f t="shared" si="6"/>
        <v>0</v>
      </c>
      <c r="G43" s="18"/>
      <c r="H43" s="28"/>
      <c r="I43" s="28"/>
      <c r="J43" s="28"/>
      <c r="K43" s="19">
        <f t="shared" si="7"/>
        <v>0</v>
      </c>
      <c r="L43" s="18"/>
      <c r="M43" s="19">
        <f t="shared" si="8"/>
        <v>0</v>
      </c>
      <c r="N43" s="5"/>
      <c r="O43" s="5"/>
      <c r="P43" s="5"/>
      <c r="Q43" s="5"/>
      <c r="R43" s="5"/>
      <c r="S43" s="5"/>
      <c r="T43" s="5"/>
      <c r="U43" s="5"/>
      <c r="V43" s="5"/>
      <c r="W43" s="70">
        <f t="shared" si="9"/>
        <v>0</v>
      </c>
      <c r="X43" s="30">
        <f t="shared" si="10"/>
        <v>0</v>
      </c>
      <c r="Y43" s="30">
        <f t="shared" si="11"/>
        <v>0</v>
      </c>
    </row>
    <row r="44" spans="1:25" x14ac:dyDescent="0.25">
      <c r="A44" s="102" t="s">
        <v>51</v>
      </c>
      <c r="B44" s="102"/>
      <c r="C44" s="26"/>
      <c r="D44" s="27"/>
      <c r="E44" s="27"/>
      <c r="F44" s="17">
        <f t="shared" si="6"/>
        <v>0</v>
      </c>
      <c r="G44" s="18"/>
      <c r="H44" s="28"/>
      <c r="I44" s="28"/>
      <c r="J44" s="28"/>
      <c r="K44" s="19">
        <f t="shared" si="7"/>
        <v>0</v>
      </c>
      <c r="L44" s="18"/>
      <c r="M44" s="19">
        <f t="shared" si="8"/>
        <v>0</v>
      </c>
      <c r="N44" s="5"/>
      <c r="O44" s="5"/>
      <c r="P44" s="5"/>
      <c r="Q44" s="5"/>
      <c r="R44" s="5"/>
      <c r="S44" s="5"/>
      <c r="T44" s="5"/>
      <c r="U44" s="5"/>
      <c r="V44" s="5"/>
      <c r="W44" s="70">
        <f t="shared" si="9"/>
        <v>0</v>
      </c>
      <c r="X44" s="30">
        <f t="shared" si="10"/>
        <v>0</v>
      </c>
      <c r="Y44" s="30">
        <f t="shared" si="11"/>
        <v>0</v>
      </c>
    </row>
    <row r="45" spans="1:25" x14ac:dyDescent="0.25">
      <c r="A45" s="103" t="s">
        <v>52</v>
      </c>
      <c r="B45" s="103"/>
      <c r="C45" s="26"/>
      <c r="D45" s="27"/>
      <c r="E45" s="27"/>
      <c r="F45" s="17">
        <f t="shared" si="6"/>
        <v>0</v>
      </c>
      <c r="G45" s="18"/>
      <c r="H45" s="28"/>
      <c r="I45" s="28"/>
      <c r="J45" s="28"/>
      <c r="K45" s="19">
        <f t="shared" si="7"/>
        <v>0</v>
      </c>
      <c r="L45" s="18"/>
      <c r="M45" s="19">
        <f t="shared" si="8"/>
        <v>0</v>
      </c>
      <c r="N45" s="5"/>
      <c r="O45" s="62">
        <f t="shared" ref="O45:V45" si="12">SUM(O16:O43)</f>
        <v>2044638.22</v>
      </c>
      <c r="P45" s="62">
        <f t="shared" si="12"/>
        <v>29359.66</v>
      </c>
      <c r="Q45" s="62">
        <f t="shared" si="12"/>
        <v>36500</v>
      </c>
      <c r="R45" s="62">
        <f t="shared" si="12"/>
        <v>-1696.52</v>
      </c>
      <c r="S45" s="62">
        <f t="shared" si="12"/>
        <v>-375266.08</v>
      </c>
      <c r="T45" s="62">
        <f t="shared" si="12"/>
        <v>-793628</v>
      </c>
      <c r="U45" s="62">
        <f t="shared" si="12"/>
        <v>35866</v>
      </c>
      <c r="V45" s="62">
        <f t="shared" si="12"/>
        <v>975773.2799999998</v>
      </c>
      <c r="W45" s="70">
        <f t="shared" si="9"/>
        <v>0</v>
      </c>
      <c r="X45" s="30">
        <f t="shared" si="10"/>
        <v>0</v>
      </c>
      <c r="Y45" s="30">
        <f t="shared" si="11"/>
        <v>0</v>
      </c>
    </row>
    <row r="46" spans="1:25" x14ac:dyDescent="0.25">
      <c r="A46" s="102" t="s">
        <v>53</v>
      </c>
      <c r="B46" s="102"/>
      <c r="C46" s="37"/>
      <c r="D46" s="38"/>
      <c r="E46" s="38"/>
      <c r="F46" s="17">
        <f t="shared" si="6"/>
        <v>0</v>
      </c>
      <c r="G46" s="18"/>
      <c r="H46" s="28"/>
      <c r="I46" s="28"/>
      <c r="J46" s="28"/>
      <c r="K46" s="19">
        <f t="shared" si="7"/>
        <v>0</v>
      </c>
      <c r="L46" s="18"/>
      <c r="M46" s="19">
        <f t="shared" si="8"/>
        <v>0</v>
      </c>
      <c r="N46" s="5"/>
      <c r="O46" s="5"/>
      <c r="P46" s="5"/>
      <c r="Q46" s="5"/>
      <c r="R46" s="5"/>
      <c r="S46" s="5"/>
      <c r="T46" s="5"/>
      <c r="U46" s="5"/>
      <c r="V46" s="5"/>
      <c r="W46" s="70">
        <f t="shared" si="9"/>
        <v>0</v>
      </c>
      <c r="X46" s="30">
        <f t="shared" si="10"/>
        <v>0</v>
      </c>
      <c r="Y46" s="30">
        <f t="shared" si="11"/>
        <v>0</v>
      </c>
    </row>
    <row r="47" spans="1:25" x14ac:dyDescent="0.25">
      <c r="A47" s="103" t="s">
        <v>54</v>
      </c>
      <c r="B47" s="103"/>
      <c r="C47" s="37"/>
      <c r="D47" s="38"/>
      <c r="E47" s="38"/>
      <c r="F47" s="17">
        <f t="shared" si="6"/>
        <v>0</v>
      </c>
      <c r="G47" s="18"/>
      <c r="H47" s="28"/>
      <c r="I47" s="28"/>
      <c r="J47" s="28"/>
      <c r="K47" s="19">
        <f t="shared" si="7"/>
        <v>0</v>
      </c>
      <c r="L47" s="18"/>
      <c r="M47" s="19">
        <f t="shared" si="8"/>
        <v>0</v>
      </c>
      <c r="N47" s="5"/>
      <c r="O47" s="64">
        <f>O45-C54</f>
        <v>0</v>
      </c>
      <c r="P47" s="64">
        <f>P45-C55</f>
        <v>0</v>
      </c>
      <c r="Q47" s="64">
        <f>C59-Q45</f>
        <v>0</v>
      </c>
      <c r="R47" s="64">
        <f>R45-C60</f>
        <v>0</v>
      </c>
      <c r="S47" s="64">
        <f>S45-C56</f>
        <v>0</v>
      </c>
      <c r="T47" s="64">
        <f>T45-C57</f>
        <v>0</v>
      </c>
      <c r="U47" s="64"/>
      <c r="V47" s="5"/>
      <c r="W47" s="70">
        <f t="shared" si="9"/>
        <v>0</v>
      </c>
      <c r="X47" s="30">
        <f t="shared" si="10"/>
        <v>0</v>
      </c>
      <c r="Y47" s="30">
        <f t="shared" si="11"/>
        <v>0</v>
      </c>
    </row>
    <row r="48" spans="1:25" x14ac:dyDescent="0.25">
      <c r="A48" s="103" t="s">
        <v>55</v>
      </c>
      <c r="B48" s="103"/>
      <c r="C48" s="37"/>
      <c r="D48" s="38"/>
      <c r="E48" s="38"/>
      <c r="F48" s="17">
        <f t="shared" si="6"/>
        <v>0</v>
      </c>
      <c r="G48" s="24"/>
      <c r="H48" s="28"/>
      <c r="I48" s="28"/>
      <c r="J48" s="28"/>
      <c r="K48" s="19">
        <f t="shared" si="7"/>
        <v>0</v>
      </c>
      <c r="L48" s="24"/>
      <c r="M48" s="19">
        <f t="shared" si="8"/>
        <v>0</v>
      </c>
      <c r="N48" s="56"/>
      <c r="O48" s="56"/>
      <c r="P48" s="56"/>
      <c r="Q48" s="56"/>
      <c r="R48" s="56"/>
      <c r="S48" s="56"/>
      <c r="T48" s="56"/>
      <c r="U48" s="56"/>
      <c r="V48" s="56"/>
      <c r="W48" s="70">
        <f t="shared" si="9"/>
        <v>0</v>
      </c>
      <c r="X48" s="30">
        <f t="shared" si="10"/>
        <v>0</v>
      </c>
      <c r="Y48" s="30">
        <f t="shared" si="11"/>
        <v>0</v>
      </c>
    </row>
    <row r="49" spans="1:22" x14ac:dyDescent="0.25">
      <c r="A49" s="105"/>
      <c r="B49" s="105"/>
      <c r="C49" s="22"/>
      <c r="D49" s="23"/>
      <c r="E49" s="23"/>
      <c r="F49" s="17"/>
      <c r="G49" s="24"/>
      <c r="H49" s="28"/>
      <c r="I49" s="28"/>
      <c r="J49" s="28"/>
      <c r="K49" s="19">
        <f t="shared" si="7"/>
        <v>0</v>
      </c>
      <c r="L49" s="24"/>
      <c r="M49" s="19">
        <f t="shared" si="8"/>
        <v>0</v>
      </c>
      <c r="N49" s="56"/>
      <c r="O49" s="56"/>
      <c r="P49" s="56"/>
      <c r="Q49" s="56"/>
      <c r="R49" s="56"/>
      <c r="S49" s="56"/>
      <c r="T49" s="56"/>
      <c r="U49" s="56"/>
      <c r="V49" s="56"/>
    </row>
    <row r="50" spans="1:22" x14ac:dyDescent="0.25">
      <c r="A50" s="106" t="s">
        <v>56</v>
      </c>
      <c r="B50" s="106"/>
      <c r="C50" s="39">
        <f>SUM(C13:C49)</f>
        <v>72221615.280000001</v>
      </c>
      <c r="D50" s="40">
        <f>SUM(D13:D49)</f>
        <v>73741156.230000004</v>
      </c>
      <c r="E50" s="40">
        <f>SUM(E13:E49)</f>
        <v>5075570.1499999994</v>
      </c>
      <c r="F50" s="40">
        <f>SUM(F13:F49)</f>
        <v>151038341.66000003</v>
      </c>
      <c r="G50" s="18"/>
      <c r="H50" s="40">
        <f>SUM(H13:H49)</f>
        <v>72221615.280000001</v>
      </c>
      <c r="I50" s="40">
        <f>SUM(I13:I49)</f>
        <v>73741156.229999989</v>
      </c>
      <c r="J50" s="40">
        <f>SUM(J13:J49)</f>
        <v>4099796.87</v>
      </c>
      <c r="K50" s="40">
        <f>SUM(K13:K49)</f>
        <v>150062568.38</v>
      </c>
      <c r="L50" s="18"/>
      <c r="M50" s="57">
        <f t="shared" si="8"/>
        <v>975773.28000003099</v>
      </c>
      <c r="N50" s="64">
        <f>C54+C55+C56+C57+C58+C59+C60-M50</f>
        <v>-3.119930624961853E-8</v>
      </c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14"/>
      <c r="L51" s="14"/>
      <c r="M51" s="14"/>
      <c r="N51" s="64">
        <f>SUM(C54:C60)</f>
        <v>975773.2799999998</v>
      </c>
      <c r="O51" s="5"/>
      <c r="P51" s="5"/>
      <c r="Q51" s="5"/>
      <c r="R51" s="5"/>
      <c r="S51" s="5"/>
      <c r="T51" s="5"/>
      <c r="U51" s="5"/>
      <c r="V51" s="5"/>
    </row>
    <row r="52" spans="1:22" x14ac:dyDescent="0.25">
      <c r="C52" s="43"/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s="15" t="s">
        <v>57</v>
      </c>
      <c r="B53" s="20"/>
      <c r="C53" s="44" t="s">
        <v>58</v>
      </c>
      <c r="D53" s="14"/>
      <c r="E53" s="14"/>
      <c r="F53" s="14"/>
      <c r="G53" s="14"/>
      <c r="H53" s="14"/>
      <c r="I53" s="14"/>
      <c r="J53" s="14"/>
      <c r="K53" s="18"/>
      <c r="L53" s="14"/>
      <c r="M53" s="14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103" t="s">
        <v>83</v>
      </c>
      <c r="B54" s="103"/>
      <c r="C54" s="45">
        <f>'[3]113'!H150+'[3]131'!G51+'[3]134'!G71+'[3]141'!H45+'[3]142'!G34+'[3]143'!G26+'[3]153'!G48+'[3]154'!H120</f>
        <v>2044638.22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s="102" t="s">
        <v>93</v>
      </c>
      <c r="B55" s="102"/>
      <c r="C55" s="45">
        <f>'[3]113'!H151+'[3]131'!G50+'[3]141'!H44+'[3]142'!G33+'[3]154'!H119</f>
        <v>29359.66</v>
      </c>
      <c r="D55" s="14"/>
      <c r="E55" s="14"/>
      <c r="F55" s="14"/>
      <c r="G55" s="14"/>
      <c r="H55" s="14"/>
      <c r="I55" s="14"/>
      <c r="J55" s="14"/>
      <c r="K55" s="14"/>
      <c r="L55" s="14"/>
      <c r="M55" s="18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s="103" t="s">
        <v>61</v>
      </c>
      <c r="B56" s="103"/>
      <c r="C56" s="45">
        <f>-'[3]152'!F45</f>
        <v>-375266.08</v>
      </c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102" t="s">
        <v>107</v>
      </c>
      <c r="B57" s="102"/>
      <c r="C57" s="45">
        <f>-'[3]154'!G121</f>
        <v>-793628</v>
      </c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62"/>
      <c r="O57" s="62"/>
      <c r="P57" s="62"/>
      <c r="Q57" s="62"/>
      <c r="R57" s="62"/>
      <c r="S57" s="62"/>
      <c r="T57" s="62"/>
      <c r="U57" s="62"/>
      <c r="V57" s="62"/>
    </row>
    <row r="58" spans="1:22" x14ac:dyDescent="0.25">
      <c r="A58" s="102" t="s">
        <v>91</v>
      </c>
      <c r="B58" s="102"/>
      <c r="C58" s="45">
        <f>-'[3]153'!F47</f>
        <v>35866</v>
      </c>
      <c r="D58" s="51"/>
      <c r="E58" s="51"/>
      <c r="F58" s="51"/>
      <c r="G58" s="3"/>
      <c r="H58" s="51"/>
      <c r="I58" s="51"/>
      <c r="J58" s="51"/>
      <c r="K58" s="3"/>
      <c r="L58" s="3"/>
      <c r="M58" s="32"/>
      <c r="N58" s="62"/>
      <c r="O58" s="62"/>
      <c r="P58" s="62"/>
      <c r="Q58" s="62"/>
      <c r="R58" s="62"/>
      <c r="S58" s="62"/>
      <c r="T58" s="62"/>
      <c r="U58" s="62"/>
      <c r="V58" s="62"/>
    </row>
    <row r="59" spans="1:22" x14ac:dyDescent="0.25">
      <c r="A59" s="61" t="s">
        <v>106</v>
      </c>
      <c r="B59" s="46"/>
      <c r="C59" s="45">
        <f>'[3]121'!G50</f>
        <v>36500</v>
      </c>
      <c r="D59" s="51"/>
      <c r="E59" s="51"/>
      <c r="F59" s="51"/>
      <c r="G59" s="3"/>
      <c r="H59" s="51"/>
      <c r="I59" s="51"/>
      <c r="J59" s="51"/>
      <c r="K59" s="3"/>
      <c r="L59" s="3"/>
      <c r="M59" s="32"/>
      <c r="N59" s="62"/>
      <c r="O59" s="62"/>
      <c r="P59" s="62"/>
      <c r="Q59" s="62"/>
      <c r="R59" s="62"/>
      <c r="S59" s="62"/>
      <c r="T59" s="62"/>
      <c r="U59" s="62"/>
      <c r="V59" s="62"/>
    </row>
    <row r="60" spans="1:22" x14ac:dyDescent="0.25">
      <c r="A60" s="61" t="s">
        <v>105</v>
      </c>
      <c r="B60" s="46"/>
      <c r="C60" s="45">
        <f>-'[3]141'!G46</f>
        <v>-1696.52</v>
      </c>
      <c r="D60" s="51"/>
      <c r="E60" s="51"/>
      <c r="F60" s="51"/>
      <c r="G60" s="3"/>
      <c r="H60" s="51"/>
      <c r="I60" s="51"/>
      <c r="J60" s="51"/>
      <c r="K60" s="3"/>
      <c r="L60" s="3"/>
      <c r="M60" s="32"/>
      <c r="N60" s="62"/>
      <c r="O60" s="62"/>
      <c r="P60" s="62"/>
      <c r="Q60" s="62"/>
      <c r="R60" s="62"/>
      <c r="S60" s="62"/>
      <c r="T60" s="62"/>
      <c r="U60" s="62"/>
      <c r="V60" s="62"/>
    </row>
    <row r="61" spans="1:22" x14ac:dyDescent="0.25">
      <c r="A61" s="50"/>
      <c r="B61" s="76"/>
      <c r="C61" s="58"/>
      <c r="D61" s="51"/>
      <c r="E61" s="51"/>
      <c r="F61" s="51"/>
      <c r="G61" s="3"/>
      <c r="H61" s="51"/>
      <c r="I61" s="51"/>
      <c r="J61" s="51"/>
      <c r="K61" s="3"/>
      <c r="L61" s="3"/>
      <c r="M61" s="32"/>
      <c r="N61" s="62"/>
      <c r="O61" s="62"/>
      <c r="P61" s="62"/>
      <c r="Q61" s="62"/>
      <c r="R61" s="62"/>
      <c r="S61" s="62"/>
      <c r="T61" s="62"/>
      <c r="U61" s="62"/>
      <c r="V61" s="62"/>
    </row>
    <row r="62" spans="1:22" x14ac:dyDescent="0.25">
      <c r="A62" s="50"/>
      <c r="B62" s="76"/>
      <c r="C62" s="58"/>
      <c r="D62" s="51"/>
      <c r="E62" s="51"/>
      <c r="F62" s="51"/>
      <c r="G62" s="3"/>
      <c r="H62" s="51"/>
      <c r="I62" s="51"/>
      <c r="J62" s="51"/>
      <c r="K62" s="3"/>
      <c r="L62" s="3"/>
      <c r="M62" s="32"/>
      <c r="N62" s="62"/>
      <c r="O62" s="62"/>
      <c r="P62" s="62"/>
      <c r="Q62" s="62"/>
      <c r="R62" s="62"/>
      <c r="S62" s="62"/>
      <c r="T62" s="62"/>
      <c r="U62" s="62"/>
      <c r="V62" s="62"/>
    </row>
    <row r="63" spans="1:22" x14ac:dyDescent="0.25">
      <c r="A63" s="50"/>
      <c r="B63" s="50"/>
      <c r="C63" s="4"/>
      <c r="D63" s="51"/>
      <c r="E63" s="51"/>
      <c r="F63" s="51"/>
      <c r="G63" s="3"/>
      <c r="H63" s="51"/>
      <c r="I63" s="51"/>
      <c r="J63" s="51"/>
      <c r="K63" s="3"/>
      <c r="L63" s="3"/>
      <c r="M63" s="32"/>
      <c r="N63" s="62"/>
      <c r="O63" s="62"/>
      <c r="P63" s="62"/>
      <c r="Q63" s="62"/>
      <c r="R63" s="62"/>
      <c r="S63" s="62"/>
      <c r="T63" s="62"/>
      <c r="U63" s="62"/>
      <c r="V63" s="62"/>
    </row>
    <row r="64" spans="1:22" ht="15.75" thickBot="1" x14ac:dyDescent="0.3">
      <c r="B64" s="3"/>
      <c r="C64" s="4"/>
      <c r="D64" s="107"/>
      <c r="E64" s="107"/>
      <c r="F64" s="52"/>
      <c r="G64" s="3"/>
      <c r="H64" s="111"/>
      <c r="I64" s="111"/>
      <c r="J64" s="25"/>
      <c r="K64" s="112"/>
      <c r="L64" s="112"/>
      <c r="M64" s="112"/>
      <c r="N64" s="62"/>
      <c r="O64" s="62"/>
      <c r="P64" s="62"/>
      <c r="Q64" s="62"/>
      <c r="R64" s="62"/>
      <c r="S64" s="62"/>
      <c r="T64" s="62"/>
      <c r="U64" s="62"/>
      <c r="V64" s="62"/>
    </row>
    <row r="65" spans="1:22" x14ac:dyDescent="0.25">
      <c r="A65" s="53" t="s">
        <v>62</v>
      </c>
      <c r="B65" s="3"/>
      <c r="C65" s="113" t="s">
        <v>63</v>
      </c>
      <c r="D65" s="113"/>
      <c r="E65" s="52"/>
      <c r="F65" s="52"/>
      <c r="G65" s="3"/>
      <c r="H65" s="113" t="s">
        <v>62</v>
      </c>
      <c r="I65" s="113"/>
      <c r="J65" s="54"/>
      <c r="K65" s="113" t="s">
        <v>63</v>
      </c>
      <c r="L65" s="113"/>
      <c r="M65" s="113"/>
      <c r="N65" s="62"/>
      <c r="O65" s="62"/>
      <c r="P65" s="62"/>
      <c r="Q65" s="62"/>
      <c r="R65" s="62"/>
      <c r="S65" s="62"/>
      <c r="T65" s="62"/>
      <c r="U65" s="62"/>
      <c r="V65" s="62"/>
    </row>
    <row r="66" spans="1:22" x14ac:dyDescent="0.25">
      <c r="A66" s="55" t="s">
        <v>64</v>
      </c>
      <c r="B66" s="3"/>
      <c r="C66" s="108" t="s">
        <v>65</v>
      </c>
      <c r="D66" s="108"/>
      <c r="E66" s="4"/>
      <c r="F66" s="4"/>
      <c r="G66" s="3"/>
      <c r="H66" s="109" t="s">
        <v>66</v>
      </c>
      <c r="I66" s="109"/>
      <c r="J66" s="4"/>
      <c r="K66" s="109" t="s">
        <v>67</v>
      </c>
      <c r="L66" s="109"/>
      <c r="M66" s="109"/>
      <c r="N66" s="62"/>
      <c r="O66" s="62"/>
      <c r="P66" s="62"/>
      <c r="Q66" s="62"/>
      <c r="R66" s="62"/>
      <c r="S66" s="62"/>
      <c r="T66" s="62"/>
      <c r="U66" s="62"/>
      <c r="V66" s="62"/>
    </row>
    <row r="67" spans="1:22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62"/>
      <c r="O67" s="62"/>
      <c r="P67" s="62"/>
      <c r="Q67" s="62"/>
      <c r="R67" s="62"/>
      <c r="S67" s="62"/>
      <c r="T67" s="62"/>
      <c r="U67" s="62"/>
      <c r="V67" s="62"/>
    </row>
    <row r="68" spans="1:22" x14ac:dyDescent="0.25"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62"/>
      <c r="O68" s="62"/>
      <c r="P68" s="62"/>
      <c r="Q68" s="62"/>
      <c r="R68" s="62"/>
      <c r="S68" s="62"/>
      <c r="T68" s="62"/>
      <c r="U68" s="62"/>
      <c r="V68" s="62"/>
    </row>
    <row r="69" spans="1:22" x14ac:dyDescent="0.25"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  <c r="N69" s="62"/>
      <c r="O69" s="62"/>
      <c r="P69" s="62"/>
      <c r="Q69" s="62"/>
      <c r="R69" s="62"/>
      <c r="S69" s="62"/>
      <c r="T69" s="62"/>
      <c r="U69" s="62"/>
      <c r="V69" s="62"/>
    </row>
    <row r="70" spans="1:22" ht="15" customHeight="1" x14ac:dyDescent="0.25">
      <c r="A70" s="110" t="s">
        <v>68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62"/>
      <c r="O70" s="62"/>
      <c r="P70" s="62"/>
      <c r="Q70" s="62"/>
      <c r="R70" s="62"/>
      <c r="S70" s="62"/>
      <c r="T70" s="62"/>
      <c r="U70" s="62"/>
      <c r="V70" s="62"/>
    </row>
    <row r="71" spans="1:22" x14ac:dyDescent="0.25">
      <c r="B71" s="3"/>
      <c r="C71" s="4"/>
      <c r="D71" s="4"/>
      <c r="E71" s="4"/>
      <c r="F71" s="4"/>
      <c r="G71" s="3"/>
      <c r="H71" s="3"/>
      <c r="I71" s="3"/>
      <c r="J71" s="4"/>
      <c r="K71" s="3"/>
      <c r="L71" s="3"/>
      <c r="M71" s="32"/>
      <c r="N71" s="62"/>
      <c r="O71" s="62"/>
      <c r="P71" s="62"/>
      <c r="Q71" s="62"/>
      <c r="R71" s="62"/>
      <c r="S71" s="62"/>
      <c r="T71" s="62"/>
      <c r="U71" s="62"/>
      <c r="V71" s="62"/>
    </row>
    <row r="72" spans="1:22" x14ac:dyDescent="0.25">
      <c r="B72" s="3"/>
      <c r="C72" s="4"/>
      <c r="D72" s="4"/>
      <c r="E72" s="4"/>
      <c r="F72" s="4"/>
      <c r="G72" s="3"/>
      <c r="H72" s="3"/>
      <c r="I72" s="3"/>
      <c r="J72" s="4"/>
      <c r="K72" s="3"/>
      <c r="L72" s="3"/>
      <c r="M72" s="32"/>
      <c r="N72" s="62"/>
      <c r="O72" s="62"/>
      <c r="P72" s="62"/>
      <c r="Q72" s="62"/>
      <c r="R72" s="62"/>
      <c r="S72" s="62"/>
      <c r="T72" s="62"/>
      <c r="U72" s="62"/>
      <c r="V72" s="62"/>
    </row>
    <row r="73" spans="1:22" x14ac:dyDescent="0.25">
      <c r="D73" s="4"/>
      <c r="E73" s="4"/>
      <c r="F73" s="4"/>
      <c r="G73" s="3"/>
      <c r="H73" s="3"/>
      <c r="I73" s="3"/>
      <c r="J73" s="4"/>
      <c r="K73" s="3"/>
      <c r="L73" s="3"/>
      <c r="M73" s="32"/>
      <c r="N73" s="62"/>
      <c r="O73" s="62"/>
      <c r="P73" s="62"/>
      <c r="Q73" s="62"/>
      <c r="R73" s="62"/>
      <c r="S73" s="62"/>
      <c r="T73" s="62"/>
      <c r="U73" s="62"/>
      <c r="V73" s="62"/>
    </row>
    <row r="81" spans="1:2" ht="15.75" thickBot="1" x14ac:dyDescent="0.3"/>
    <row r="82" spans="1:2" ht="15.75" thickBot="1" x14ac:dyDescent="0.3">
      <c r="A82" s="74" t="s">
        <v>57</v>
      </c>
      <c r="B82" s="75"/>
    </row>
    <row r="83" spans="1:2" ht="15.75" thickBot="1" x14ac:dyDescent="0.3">
      <c r="A83" s="114" t="s">
        <v>104</v>
      </c>
      <c r="B83" s="114"/>
    </row>
    <row r="84" spans="1:2" ht="15.75" thickBot="1" x14ac:dyDescent="0.3">
      <c r="A84" s="114" t="s">
        <v>73</v>
      </c>
      <c r="B84" s="114"/>
    </row>
    <row r="85" spans="1:2" ht="15.75" thickBot="1" x14ac:dyDescent="0.3">
      <c r="A85" s="114" t="s">
        <v>103</v>
      </c>
      <c r="B85" s="114"/>
    </row>
    <row r="86" spans="1:2" ht="15.75" thickBot="1" x14ac:dyDescent="0.3">
      <c r="A86" s="114" t="s">
        <v>102</v>
      </c>
      <c r="B86" s="114"/>
    </row>
    <row r="87" spans="1:2" ht="15.75" thickBot="1" x14ac:dyDescent="0.3">
      <c r="A87" s="114" t="s">
        <v>101</v>
      </c>
      <c r="B87" s="114"/>
    </row>
    <row r="88" spans="1:2" ht="15.75" thickBot="1" x14ac:dyDescent="0.3">
      <c r="A88" s="114" t="s">
        <v>100</v>
      </c>
      <c r="B88" s="114"/>
    </row>
  </sheetData>
  <mergeCells count="67">
    <mergeCell ref="A85:B85"/>
    <mergeCell ref="A86:B86"/>
    <mergeCell ref="A87:B87"/>
    <mergeCell ref="A88:B88"/>
    <mergeCell ref="C66:D66"/>
    <mergeCell ref="K66:M66"/>
    <mergeCell ref="A70:M70"/>
    <mergeCell ref="A83:B83"/>
    <mergeCell ref="A84:B84"/>
    <mergeCell ref="H57:J57"/>
    <mergeCell ref="A58:B58"/>
    <mergeCell ref="D64:E64"/>
    <mergeCell ref="H64:I64"/>
    <mergeCell ref="K64:M64"/>
    <mergeCell ref="C65:D65"/>
    <mergeCell ref="H66:I66"/>
    <mergeCell ref="A49:B49"/>
    <mergeCell ref="H65:I65"/>
    <mergeCell ref="K65:M65"/>
    <mergeCell ref="A50:B50"/>
    <mergeCell ref="A54:B54"/>
    <mergeCell ref="A55:B55"/>
    <mergeCell ref="A56:B56"/>
    <mergeCell ref="A57:B57"/>
    <mergeCell ref="D57:E57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28:B28"/>
    <mergeCell ref="A29:B29"/>
    <mergeCell ref="A30:B30"/>
    <mergeCell ref="A37:B37"/>
    <mergeCell ref="A38:B3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0:B10"/>
    <mergeCell ref="C10:E10"/>
    <mergeCell ref="H10:J10"/>
    <mergeCell ref="A11:B11"/>
    <mergeCell ref="A12:B12"/>
    <mergeCell ref="A1:M1"/>
    <mergeCell ref="B2:M2"/>
    <mergeCell ref="A3:M3"/>
    <mergeCell ref="A6:B6"/>
    <mergeCell ref="A8:B9"/>
    <mergeCell ref="C9:F9"/>
    <mergeCell ref="H9:K9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8C61-A88A-4827-9B32-F512AD634C2C}">
  <dimension ref="A1:Z71"/>
  <sheetViews>
    <sheetView zoomScale="82" zoomScaleNormal="82" workbookViewId="0">
      <selection activeCell="A60" sqref="A60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0.28515625" style="63" customWidth="1"/>
    <col min="15" max="15" width="14.140625" style="63" customWidth="1"/>
    <col min="16" max="16" width="15.7109375" style="63" customWidth="1"/>
    <col min="17" max="17" width="13.5703125" style="63" customWidth="1"/>
    <col min="18" max="18" width="14.140625" style="63" customWidth="1"/>
    <col min="19" max="22" width="14.42578125" style="63" customWidth="1"/>
    <col min="23" max="23" width="13.140625" style="63" customWidth="1"/>
    <col min="24" max="25" width="12.140625" customWidth="1"/>
    <col min="26" max="26" width="15" customWidth="1"/>
  </cols>
  <sheetData>
    <row r="1" spans="1:24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24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24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4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</row>
    <row r="5" spans="1:24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</row>
    <row r="6" spans="1:24" ht="15" customHeight="1" x14ac:dyDescent="0.25">
      <c r="A6" s="90" t="s">
        <v>99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</row>
    <row r="7" spans="1:24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</row>
    <row r="8" spans="1:24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</row>
    <row r="9" spans="1:24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</row>
    <row r="10" spans="1:24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</row>
    <row r="11" spans="1:24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</row>
    <row r="12" spans="1:24" ht="87" customHeight="1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</row>
    <row r="13" spans="1:24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</row>
    <row r="14" spans="1:24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</row>
    <row r="15" spans="1:24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</row>
    <row r="16" spans="1:24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72"/>
      <c r="O16" s="72">
        <f>'[4]113'!H163</f>
        <v>917904.78999999992</v>
      </c>
      <c r="P16" s="72">
        <f>'[4]113'!H162</f>
        <v>8961.48</v>
      </c>
      <c r="Q16" s="72"/>
      <c r="R16" s="72"/>
      <c r="S16" s="72"/>
      <c r="T16" s="72"/>
      <c r="U16" s="72"/>
      <c r="V16" s="72">
        <f>SUM(O16:T16)</f>
        <v>926866.2699999999</v>
      </c>
      <c r="W16" s="72"/>
      <c r="X16" s="70"/>
    </row>
    <row r="17" spans="1:26" x14ac:dyDescent="0.25">
      <c r="A17" s="103" t="s">
        <v>22</v>
      </c>
      <c r="B17" s="103"/>
      <c r="C17" s="26">
        <v>21531137.440000001</v>
      </c>
      <c r="D17" s="27">
        <v>30210328.130000003</v>
      </c>
      <c r="E17" s="27">
        <v>705845.08999999985</v>
      </c>
      <c r="F17" s="17">
        <f t="shared" si="0"/>
        <v>52447310.660000011</v>
      </c>
      <c r="G17" s="18"/>
      <c r="H17" s="28">
        <f>'[4]113'!G158</f>
        <v>21531137.439999998</v>
      </c>
      <c r="I17" s="28">
        <f>'[4]113'!G159</f>
        <v>30210328.129999995</v>
      </c>
      <c r="J17" s="28">
        <f>'[4]113'!G160+'[4]113'!G161+'[4]113'!G164-'[4]113'!H162-'[4]113'!H163</f>
        <v>-221021.17999999993</v>
      </c>
      <c r="K17" s="19">
        <f t="shared" si="1"/>
        <v>51520444.389999993</v>
      </c>
      <c r="L17" s="18"/>
      <c r="M17" s="19">
        <f t="shared" si="2"/>
        <v>926866.27000001818</v>
      </c>
      <c r="N17" s="29" t="s">
        <v>97</v>
      </c>
      <c r="O17" s="29"/>
      <c r="P17" s="29"/>
      <c r="Q17" s="29"/>
      <c r="R17" s="29"/>
      <c r="S17" s="29"/>
      <c r="T17" s="29"/>
      <c r="U17" s="29"/>
      <c r="V17" s="29"/>
      <c r="W17" s="29"/>
      <c r="X17" s="70">
        <f t="shared" ref="X17:X47" si="3">C17-H17</f>
        <v>0</v>
      </c>
      <c r="Y17" s="70">
        <f t="shared" ref="Y17:Y47" si="4">D17-I17</f>
        <v>0</v>
      </c>
      <c r="Z17" s="30">
        <f t="shared" ref="Z17:Z47" si="5">E17-J17</f>
        <v>926866.26999999979</v>
      </c>
    </row>
    <row r="18" spans="1:26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72"/>
      <c r="O18" s="72"/>
      <c r="P18" s="72"/>
      <c r="Q18" s="72"/>
      <c r="R18" s="72"/>
      <c r="S18" s="72"/>
      <c r="T18" s="72"/>
      <c r="U18" s="72"/>
      <c r="V18" s="72"/>
      <c r="W18" s="72">
        <f>K17-'[4]113'!I166</f>
        <v>0</v>
      </c>
      <c r="X18" s="70">
        <f t="shared" si="3"/>
        <v>0</v>
      </c>
      <c r="Y18" s="70">
        <f t="shared" si="4"/>
        <v>0</v>
      </c>
      <c r="Z18" s="30">
        <f t="shared" si="5"/>
        <v>0</v>
      </c>
    </row>
    <row r="19" spans="1:26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0">
        <f t="shared" si="3"/>
        <v>0</v>
      </c>
      <c r="Y19" s="70">
        <f t="shared" si="4"/>
        <v>0</v>
      </c>
      <c r="Z19" s="30">
        <f t="shared" si="5"/>
        <v>0</v>
      </c>
    </row>
    <row r="20" spans="1:26" x14ac:dyDescent="0.25">
      <c r="A20" s="103" t="s">
        <v>26</v>
      </c>
      <c r="B20" s="103"/>
      <c r="C20" s="26">
        <v>5622419.9799999995</v>
      </c>
      <c r="D20" s="27">
        <v>5417894.9799999995</v>
      </c>
      <c r="E20" s="27"/>
      <c r="F20" s="17">
        <f t="shared" si="0"/>
        <v>11040314.959999999</v>
      </c>
      <c r="G20" s="18"/>
      <c r="H20" s="28">
        <f>'[4]121'!F45</f>
        <v>5622419.9799999995</v>
      </c>
      <c r="I20" s="28">
        <f>'[4]121'!F46</f>
        <v>5417894.9799999995</v>
      </c>
      <c r="J20" s="28"/>
      <c r="K20" s="19">
        <f t="shared" si="1"/>
        <v>11040314.959999999</v>
      </c>
      <c r="L20" s="18"/>
      <c r="M20" s="19">
        <f t="shared" si="2"/>
        <v>0</v>
      </c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0">
        <f t="shared" si="3"/>
        <v>0</v>
      </c>
      <c r="Y20" s="70">
        <f t="shared" si="4"/>
        <v>0</v>
      </c>
      <c r="Z20" s="30">
        <f t="shared" si="5"/>
        <v>0</v>
      </c>
    </row>
    <row r="21" spans="1:26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0">
        <f t="shared" si="3"/>
        <v>0</v>
      </c>
      <c r="Y21" s="70">
        <f t="shared" si="4"/>
        <v>0</v>
      </c>
      <c r="Z21" s="30">
        <f t="shared" si="5"/>
        <v>0</v>
      </c>
    </row>
    <row r="22" spans="1:26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0">
        <f t="shared" si="3"/>
        <v>0</v>
      </c>
      <c r="Y22" s="70">
        <f t="shared" si="4"/>
        <v>0</v>
      </c>
      <c r="Z22" s="30">
        <f t="shared" si="5"/>
        <v>0</v>
      </c>
    </row>
    <row r="23" spans="1:26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72"/>
      <c r="O23" s="72">
        <f>'[4]131'!G55</f>
        <v>125709.9</v>
      </c>
      <c r="P23" s="72">
        <f>'[4]131'!G56</f>
        <v>746.8</v>
      </c>
      <c r="Q23" s="72"/>
      <c r="R23" s="72"/>
      <c r="S23" s="72"/>
      <c r="T23" s="72"/>
      <c r="U23" s="72"/>
      <c r="V23" s="72">
        <f>SUM(O23:T23)</f>
        <v>126456.7</v>
      </c>
      <c r="W23" s="72">
        <f>K24-'[4]131'!H59</f>
        <v>0</v>
      </c>
      <c r="X23" s="70">
        <f t="shared" si="3"/>
        <v>0</v>
      </c>
      <c r="Y23" s="70">
        <f t="shared" si="4"/>
        <v>0</v>
      </c>
      <c r="Z23" s="30">
        <f t="shared" si="5"/>
        <v>0</v>
      </c>
    </row>
    <row r="24" spans="1:26" x14ac:dyDescent="0.25">
      <c r="A24" s="103" t="s">
        <v>30</v>
      </c>
      <c r="B24" s="103"/>
      <c r="C24" s="26">
        <v>2814396.9</v>
      </c>
      <c r="D24" s="27">
        <v>2824798.08</v>
      </c>
      <c r="E24" s="27">
        <v>373.4</v>
      </c>
      <c r="F24" s="17">
        <f t="shared" si="0"/>
        <v>5639568.3800000008</v>
      </c>
      <c r="G24" s="24"/>
      <c r="H24" s="28">
        <f>'[4]131'!F51</f>
        <v>2814396.9</v>
      </c>
      <c r="I24" s="28">
        <f>'[4]131'!F52</f>
        <v>2824798.08</v>
      </c>
      <c r="J24" s="28">
        <f>'[4]131'!F54-'[4]131'!G55-'[4]131'!G56</f>
        <v>-126083.3</v>
      </c>
      <c r="K24" s="19">
        <f t="shared" si="1"/>
        <v>5513111.6800000006</v>
      </c>
      <c r="L24" s="24"/>
      <c r="M24" s="19">
        <f t="shared" si="2"/>
        <v>126456.70000000019</v>
      </c>
      <c r="N24" s="29" t="s">
        <v>97</v>
      </c>
      <c r="O24" s="29"/>
      <c r="P24" s="29"/>
      <c r="Q24" s="29"/>
      <c r="R24" s="29"/>
      <c r="S24" s="29"/>
      <c r="T24" s="29"/>
      <c r="U24" s="29"/>
      <c r="V24" s="29"/>
      <c r="W24" s="29"/>
      <c r="X24" s="70">
        <f t="shared" si="3"/>
        <v>0</v>
      </c>
      <c r="Y24" s="70">
        <f t="shared" si="4"/>
        <v>0</v>
      </c>
      <c r="Z24" s="30">
        <f t="shared" si="5"/>
        <v>126456.7</v>
      </c>
    </row>
    <row r="25" spans="1:26" x14ac:dyDescent="0.25">
      <c r="A25" s="103" t="s">
        <v>31</v>
      </c>
      <c r="B25" s="103"/>
      <c r="C25" s="26"/>
      <c r="D25" s="27"/>
      <c r="E25" s="27">
        <v>297222.59999999998</v>
      </c>
      <c r="F25" s="17">
        <f t="shared" si="0"/>
        <v>297222.59999999998</v>
      </c>
      <c r="G25" s="18"/>
      <c r="H25" s="28"/>
      <c r="I25" s="28"/>
      <c r="J25" s="28">
        <f>'[4]132'!G89</f>
        <v>297222.60000000003</v>
      </c>
      <c r="K25" s="19">
        <f t="shared" si="1"/>
        <v>297222.60000000003</v>
      </c>
      <c r="L25" s="18"/>
      <c r="M25" s="19">
        <f t="shared" si="2"/>
        <v>0</v>
      </c>
      <c r="N25" s="72"/>
      <c r="O25" s="72"/>
      <c r="P25" s="72"/>
      <c r="Q25" s="72"/>
      <c r="R25" s="72"/>
      <c r="S25" s="72"/>
      <c r="T25" s="72"/>
      <c r="U25" s="72"/>
      <c r="V25" s="72"/>
      <c r="W25" s="72">
        <f>K25-'[4]132'!G92</f>
        <v>0</v>
      </c>
      <c r="X25" s="70">
        <f t="shared" si="3"/>
        <v>0</v>
      </c>
      <c r="Y25" s="70">
        <f t="shared" si="4"/>
        <v>0</v>
      </c>
      <c r="Z25" s="30">
        <f t="shared" si="5"/>
        <v>0</v>
      </c>
    </row>
    <row r="26" spans="1:26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72"/>
      <c r="O26" s="72">
        <f>'[4]134'!G75</f>
        <v>25931.119999999999</v>
      </c>
      <c r="P26" s="72"/>
      <c r="Q26" s="72">
        <f>-'[4]134'!G82</f>
        <v>-55422.849999999977</v>
      </c>
      <c r="R26" s="72"/>
      <c r="S26" s="72"/>
      <c r="T26" s="72"/>
      <c r="U26" s="72"/>
      <c r="V26" s="72">
        <f>SUM(O26:T26)</f>
        <v>-29491.729999999978</v>
      </c>
      <c r="W26" s="72">
        <f>K27-'[4]134'!H78</f>
        <v>0</v>
      </c>
      <c r="X26" s="70">
        <f t="shared" si="3"/>
        <v>0</v>
      </c>
      <c r="Y26" s="70">
        <f t="shared" si="4"/>
        <v>0</v>
      </c>
      <c r="Z26" s="30">
        <f t="shared" si="5"/>
        <v>0</v>
      </c>
    </row>
    <row r="27" spans="1:26" x14ac:dyDescent="0.25">
      <c r="A27" s="103" t="s">
        <v>33</v>
      </c>
      <c r="B27" s="103"/>
      <c r="C27" s="26">
        <v>752226.3</v>
      </c>
      <c r="D27" s="27">
        <v>675799.30000000016</v>
      </c>
      <c r="E27" s="27"/>
      <c r="F27" s="17">
        <f t="shared" si="0"/>
        <v>1428025.6</v>
      </c>
      <c r="G27" s="18"/>
      <c r="H27" s="28">
        <f>'[4]134'!F73</f>
        <v>752226.3</v>
      </c>
      <c r="I27" s="28">
        <f>'[4]134'!F74</f>
        <v>731222.15000000014</v>
      </c>
      <c r="J27" s="28">
        <f>-'[4]134'!G75</f>
        <v>-25931.119999999999</v>
      </c>
      <c r="K27" s="19">
        <f t="shared" si="1"/>
        <v>1457517.33</v>
      </c>
      <c r="L27" s="18"/>
      <c r="M27" s="19">
        <f t="shared" si="2"/>
        <v>-29491.729999999981</v>
      </c>
      <c r="N27" s="72" t="s">
        <v>98</v>
      </c>
      <c r="O27" s="72"/>
      <c r="P27" s="72"/>
      <c r="Q27" s="72"/>
      <c r="R27" s="72"/>
      <c r="S27" s="72"/>
      <c r="T27" s="72"/>
      <c r="U27" s="72"/>
      <c r="V27" s="72"/>
      <c r="W27" s="72"/>
      <c r="X27" s="70">
        <f t="shared" si="3"/>
        <v>0</v>
      </c>
      <c r="Y27" s="70">
        <f t="shared" si="4"/>
        <v>-55422.849999999977</v>
      </c>
      <c r="Z27" s="30">
        <f t="shared" si="5"/>
        <v>25931.119999999999</v>
      </c>
    </row>
    <row r="28" spans="1:26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0">
        <f t="shared" si="3"/>
        <v>0</v>
      </c>
      <c r="Y28" s="70">
        <f t="shared" si="4"/>
        <v>0</v>
      </c>
      <c r="Z28" s="30">
        <f t="shared" si="5"/>
        <v>0</v>
      </c>
    </row>
    <row r="29" spans="1:26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0">
        <f t="shared" si="3"/>
        <v>0</v>
      </c>
      <c r="Y29" s="70">
        <f t="shared" si="4"/>
        <v>0</v>
      </c>
      <c r="Z29" s="30">
        <f t="shared" si="5"/>
        <v>0</v>
      </c>
    </row>
    <row r="30" spans="1:26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0">
        <f t="shared" si="3"/>
        <v>0</v>
      </c>
      <c r="Y30" s="70">
        <f t="shared" si="4"/>
        <v>0</v>
      </c>
      <c r="Z30" s="30">
        <f t="shared" si="5"/>
        <v>0</v>
      </c>
    </row>
    <row r="31" spans="1:26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0">
        <f t="shared" si="3"/>
        <v>0</v>
      </c>
      <c r="Y31" s="70">
        <f t="shared" si="4"/>
        <v>0</v>
      </c>
      <c r="Z31" s="30">
        <f t="shared" si="5"/>
        <v>0</v>
      </c>
    </row>
    <row r="32" spans="1:26" x14ac:dyDescent="0.25">
      <c r="A32" s="33" t="s">
        <v>38</v>
      </c>
      <c r="B32" s="34"/>
      <c r="C32" s="26">
        <v>3361200.5300000003</v>
      </c>
      <c r="D32" s="27">
        <v>4637924.47</v>
      </c>
      <c r="E32" s="27">
        <v>6220.6</v>
      </c>
      <c r="F32" s="17">
        <f t="shared" si="0"/>
        <v>8005345.5999999996</v>
      </c>
      <c r="G32" s="18"/>
      <c r="H32" s="28">
        <f>'[4]141'!F48</f>
        <v>3361200.5300000003</v>
      </c>
      <c r="I32" s="28">
        <f>'[4]141'!F49</f>
        <v>4637924.47</v>
      </c>
      <c r="J32" s="28">
        <f>'[4]141'!F50+'[4]141'!F51-'[4]141'!G52-'[4]141'!G53</f>
        <v>-137816.35</v>
      </c>
      <c r="K32" s="19">
        <f t="shared" si="1"/>
        <v>7861308.6500000004</v>
      </c>
      <c r="L32" s="18"/>
      <c r="M32" s="19">
        <f t="shared" si="2"/>
        <v>144036.94999999925</v>
      </c>
      <c r="N32" s="72" t="s">
        <v>97</v>
      </c>
      <c r="O32" s="72">
        <f>'[4]141'!G53</f>
        <v>142679.75</v>
      </c>
      <c r="P32" s="72">
        <f>'[4]141'!G52</f>
        <v>1357.2</v>
      </c>
      <c r="Q32" s="72"/>
      <c r="R32" s="72"/>
      <c r="S32" s="72"/>
      <c r="T32" s="72"/>
      <c r="U32" s="72"/>
      <c r="V32" s="72">
        <f>SUM(O32:T32)</f>
        <v>144036.95000000001</v>
      </c>
      <c r="W32" s="72">
        <f>K32-'[4]141'!H56</f>
        <v>0</v>
      </c>
      <c r="X32" s="70">
        <f t="shared" si="3"/>
        <v>0</v>
      </c>
      <c r="Y32" s="70">
        <f t="shared" si="4"/>
        <v>0</v>
      </c>
      <c r="Z32" s="30">
        <f t="shared" si="5"/>
        <v>144036.95000000001</v>
      </c>
    </row>
    <row r="33" spans="1:26" x14ac:dyDescent="0.25">
      <c r="A33" s="33" t="s">
        <v>39</v>
      </c>
      <c r="B33" s="34"/>
      <c r="C33" s="26">
        <v>1109687.01</v>
      </c>
      <c r="D33" s="27">
        <v>1531189.04</v>
      </c>
      <c r="E33" s="27">
        <v>2053.6999999999998</v>
      </c>
      <c r="F33" s="17">
        <f t="shared" si="0"/>
        <v>2642929.75</v>
      </c>
      <c r="G33" s="18"/>
      <c r="H33" s="28">
        <f>'[4]142'!F33</f>
        <v>1109687.01</v>
      </c>
      <c r="I33" s="28">
        <f>'[4]142'!F34</f>
        <v>1531189.04</v>
      </c>
      <c r="J33" s="28">
        <f>-'[4]142'!G37-'[4]142'!G38+'[4]142'!F35+'[4]142'!F36</f>
        <v>-45499.09</v>
      </c>
      <c r="K33" s="19">
        <f t="shared" si="1"/>
        <v>2595376.96</v>
      </c>
      <c r="L33" s="18"/>
      <c r="M33" s="19">
        <f t="shared" si="2"/>
        <v>47552.790000000037</v>
      </c>
      <c r="N33" s="72" t="s">
        <v>97</v>
      </c>
      <c r="O33" s="72">
        <f>'[4]142'!G38</f>
        <v>47104.709999999992</v>
      </c>
      <c r="P33" s="72">
        <f>'[4]142'!G37</f>
        <v>448.08</v>
      </c>
      <c r="Q33" s="72"/>
      <c r="R33" s="72"/>
      <c r="S33" s="72"/>
      <c r="T33" s="72"/>
      <c r="U33" s="72"/>
      <c r="V33" s="72">
        <f>SUM(O33:T33)</f>
        <v>47552.789999999994</v>
      </c>
      <c r="W33" s="72">
        <f>K33-'[4]142'!H41</f>
        <v>0</v>
      </c>
      <c r="X33" s="70">
        <f t="shared" si="3"/>
        <v>0</v>
      </c>
      <c r="Y33" s="70">
        <f t="shared" si="4"/>
        <v>0</v>
      </c>
      <c r="Z33" s="30">
        <f t="shared" si="5"/>
        <v>47552.789999999994</v>
      </c>
    </row>
    <row r="34" spans="1:26" x14ac:dyDescent="0.25">
      <c r="A34" s="35" t="s">
        <v>40</v>
      </c>
      <c r="B34" s="36"/>
      <c r="C34" s="26">
        <v>238004.2</v>
      </c>
      <c r="D34" s="27">
        <v>320901.14</v>
      </c>
      <c r="E34" s="27">
        <v>266.98</v>
      </c>
      <c r="F34" s="17">
        <f t="shared" si="0"/>
        <v>559172.32000000007</v>
      </c>
      <c r="G34" s="18"/>
      <c r="H34" s="28">
        <f>'[4]143'!F28</f>
        <v>238004.2</v>
      </c>
      <c r="I34" s="28">
        <f>'[4]143'!F29</f>
        <v>320901.14</v>
      </c>
      <c r="J34" s="28">
        <f>'[4]143'!F31-'[4]143'!G32</f>
        <v>-16042.210000000001</v>
      </c>
      <c r="K34" s="19">
        <f t="shared" si="1"/>
        <v>542863.13000000012</v>
      </c>
      <c r="L34" s="18"/>
      <c r="M34" s="19">
        <f t="shared" si="2"/>
        <v>16309.189999999944</v>
      </c>
      <c r="N34" s="73" t="s">
        <v>23</v>
      </c>
      <c r="O34" s="73"/>
      <c r="P34" s="73"/>
      <c r="Q34" s="73"/>
      <c r="R34" s="73"/>
      <c r="S34" s="73"/>
      <c r="T34" s="73"/>
      <c r="U34" s="73"/>
      <c r="V34" s="73"/>
      <c r="W34" s="73"/>
      <c r="X34" s="70">
        <f t="shared" si="3"/>
        <v>0</v>
      </c>
      <c r="Y34" s="70">
        <f t="shared" si="4"/>
        <v>0</v>
      </c>
      <c r="Z34" s="30">
        <f t="shared" si="5"/>
        <v>16309.19</v>
      </c>
    </row>
    <row r="35" spans="1:26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72"/>
      <c r="O35" s="72">
        <f>'[4]143'!G32</f>
        <v>16309.19</v>
      </c>
      <c r="P35" s="72"/>
      <c r="Q35" s="72"/>
      <c r="R35" s="72"/>
      <c r="S35" s="72"/>
      <c r="T35" s="72"/>
      <c r="U35" s="72"/>
      <c r="V35" s="72">
        <f>SUM(O35:T35)</f>
        <v>16309.19</v>
      </c>
      <c r="W35" s="72">
        <f>K34-'[4]143'!H35</f>
        <v>0</v>
      </c>
      <c r="X35" s="70">
        <f t="shared" si="3"/>
        <v>0</v>
      </c>
      <c r="Y35" s="70">
        <f t="shared" si="4"/>
        <v>0</v>
      </c>
      <c r="Z35" s="30">
        <f t="shared" si="5"/>
        <v>0</v>
      </c>
    </row>
    <row r="36" spans="1:26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0">
        <f t="shared" si="3"/>
        <v>0</v>
      </c>
      <c r="Y36" s="70">
        <f t="shared" si="4"/>
        <v>0</v>
      </c>
      <c r="Z36" s="30">
        <f t="shared" si="5"/>
        <v>0</v>
      </c>
    </row>
    <row r="37" spans="1:26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0">
        <f t="shared" si="3"/>
        <v>0</v>
      </c>
      <c r="Y37" s="70">
        <f t="shared" si="4"/>
        <v>0</v>
      </c>
      <c r="Z37" s="30">
        <f t="shared" si="5"/>
        <v>0</v>
      </c>
    </row>
    <row r="38" spans="1:26" x14ac:dyDescent="0.25">
      <c r="A38" s="103" t="s">
        <v>45</v>
      </c>
      <c r="B38" s="103"/>
      <c r="C38" s="26"/>
      <c r="D38" s="27"/>
      <c r="E38" s="27">
        <v>2009708.42</v>
      </c>
      <c r="F38" s="17">
        <f t="shared" si="0"/>
        <v>2009708.42</v>
      </c>
      <c r="G38" s="18"/>
      <c r="H38" s="28"/>
      <c r="I38" s="28"/>
      <c r="J38" s="28">
        <f>'[4]152'!F61+'[4]152'!F62+'[4]152'!F63</f>
        <v>4087148.1</v>
      </c>
      <c r="K38" s="19">
        <f t="shared" si="1"/>
        <v>4087148.1</v>
      </c>
      <c r="L38" s="18"/>
      <c r="M38" s="19">
        <f t="shared" si="2"/>
        <v>-2077439.6800000002</v>
      </c>
      <c r="N38" s="72" t="s">
        <v>96</v>
      </c>
      <c r="O38" s="72"/>
      <c r="P38" s="72"/>
      <c r="Q38" s="72"/>
      <c r="R38" s="72">
        <f>-'[4]152'!F62</f>
        <v>-1653273.1800000002</v>
      </c>
      <c r="S38" s="72">
        <f>-'[4]152'!F61</f>
        <v>-424166.5</v>
      </c>
      <c r="T38" s="72"/>
      <c r="U38" s="72"/>
      <c r="V38" s="72">
        <f>SUM(O38:T38)</f>
        <v>-2077439.6800000002</v>
      </c>
      <c r="W38" s="72">
        <f>K38-'[4]152'!H66</f>
        <v>0</v>
      </c>
      <c r="X38" s="70">
        <f t="shared" si="3"/>
        <v>0</v>
      </c>
      <c r="Y38" s="70">
        <f t="shared" si="4"/>
        <v>0</v>
      </c>
      <c r="Z38" s="30">
        <f t="shared" si="5"/>
        <v>-2077439.6800000002</v>
      </c>
    </row>
    <row r="39" spans="1:26" x14ac:dyDescent="0.25">
      <c r="A39" s="103" t="s">
        <v>47</v>
      </c>
      <c r="B39" s="103"/>
      <c r="C39" s="26"/>
      <c r="D39" s="27"/>
      <c r="E39" s="27">
        <v>372984.48</v>
      </c>
      <c r="F39" s="17">
        <f t="shared" si="0"/>
        <v>372984.48</v>
      </c>
      <c r="G39" s="18"/>
      <c r="H39" s="28"/>
      <c r="I39" s="28"/>
      <c r="J39" s="28">
        <f>'[4]153'!G35+'[4]153'!G36</f>
        <v>408850.48</v>
      </c>
      <c r="K39" s="19">
        <f t="shared" si="1"/>
        <v>408850.48</v>
      </c>
      <c r="L39" s="18"/>
      <c r="M39" s="19">
        <f t="shared" si="2"/>
        <v>-35866</v>
      </c>
      <c r="N39" s="73" t="s">
        <v>95</v>
      </c>
      <c r="O39" s="73"/>
      <c r="P39" s="73"/>
      <c r="Q39" s="73"/>
      <c r="R39" s="73"/>
      <c r="S39" s="73"/>
      <c r="T39" s="72">
        <f>-'[4]153'!G36</f>
        <v>-35866</v>
      </c>
      <c r="U39" s="72"/>
      <c r="V39" s="72">
        <f>SUM(O39:T39)</f>
        <v>-35866</v>
      </c>
      <c r="W39" s="73"/>
      <c r="X39" s="70">
        <f t="shared" si="3"/>
        <v>0</v>
      </c>
      <c r="Y39" s="70">
        <f t="shared" si="4"/>
        <v>0</v>
      </c>
      <c r="Z39" s="30">
        <f t="shared" si="5"/>
        <v>-35866</v>
      </c>
    </row>
    <row r="40" spans="1:26" x14ac:dyDescent="0.25">
      <c r="A40" s="103" t="s">
        <v>48</v>
      </c>
      <c r="B40" s="103"/>
      <c r="C40" s="26">
        <v>37832274.07</v>
      </c>
      <c r="D40" s="27">
        <v>36958412.5</v>
      </c>
      <c r="E40" s="27">
        <v>216429.52</v>
      </c>
      <c r="F40" s="17">
        <f t="shared" si="0"/>
        <v>75007116.089999989</v>
      </c>
      <c r="G40" s="18"/>
      <c r="H40" s="28">
        <f>'[4]154'!G96</f>
        <v>37832274.07</v>
      </c>
      <c r="I40" s="28">
        <f>'[4]154'!G97-'[4]154'!H97</f>
        <v>36958412.5</v>
      </c>
      <c r="J40" s="28">
        <f>'[4]154'!G98+'[4]154'!G99+'[4]154'!G102+'[4]154'!G103-'[4]154'!H98-'[4]154'!H100-'[4]154'!H101</f>
        <v>-772556.26</v>
      </c>
      <c r="K40" s="19">
        <f t="shared" si="1"/>
        <v>74018130.309999987</v>
      </c>
      <c r="L40" s="18"/>
      <c r="M40" s="19">
        <f t="shared" si="2"/>
        <v>988985.78000000119</v>
      </c>
      <c r="N40" s="72" t="s">
        <v>94</v>
      </c>
      <c r="O40" s="72">
        <f>'[4]154'!H100</f>
        <v>19640.560000000001</v>
      </c>
      <c r="P40" s="72">
        <f>'[4]154'!H101</f>
        <v>917512.12</v>
      </c>
      <c r="Q40" s="72"/>
      <c r="R40" s="72"/>
      <c r="S40" s="72"/>
      <c r="T40" s="65">
        <f>-'[4]154'!G102</f>
        <v>15561</v>
      </c>
      <c r="U40" s="65">
        <f>'[4]154'!H98</f>
        <v>36272.1</v>
      </c>
      <c r="V40" s="71">
        <f>SUM(O40:U40)</f>
        <v>988985.78</v>
      </c>
      <c r="W40" s="72">
        <f>K39-'[4]153'!G39</f>
        <v>0</v>
      </c>
      <c r="X40" s="70">
        <f t="shared" si="3"/>
        <v>0</v>
      </c>
      <c r="Y40" s="70">
        <f t="shared" si="4"/>
        <v>0</v>
      </c>
      <c r="Z40" s="30">
        <f t="shared" si="5"/>
        <v>988985.78</v>
      </c>
    </row>
    <row r="41" spans="1:26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72"/>
      <c r="O41" s="72"/>
      <c r="P41" s="72"/>
      <c r="Q41" s="72"/>
      <c r="R41" s="72"/>
      <c r="S41" s="72"/>
      <c r="T41" s="72"/>
      <c r="U41" s="72"/>
      <c r="V41" s="72"/>
      <c r="W41" s="72">
        <f>K40-'[4]154'!I105</f>
        <v>0</v>
      </c>
      <c r="X41" s="70">
        <f t="shared" si="3"/>
        <v>0</v>
      </c>
      <c r="Y41" s="70">
        <f t="shared" si="4"/>
        <v>0</v>
      </c>
      <c r="Z41" s="30">
        <f t="shared" si="5"/>
        <v>0</v>
      </c>
    </row>
    <row r="42" spans="1:26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0">
        <f t="shared" si="3"/>
        <v>0</v>
      </c>
      <c r="Y42" s="70">
        <f t="shared" si="4"/>
        <v>0</v>
      </c>
      <c r="Z42" s="30">
        <f t="shared" si="5"/>
        <v>0</v>
      </c>
    </row>
    <row r="43" spans="1:26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X43" s="70">
        <f t="shared" si="3"/>
        <v>0</v>
      </c>
      <c r="Y43" s="70">
        <f t="shared" si="4"/>
        <v>0</v>
      </c>
      <c r="Z43" s="30">
        <f t="shared" si="5"/>
        <v>0</v>
      </c>
    </row>
    <row r="44" spans="1:26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O44" s="71">
        <f>SUM(O16:O41)</f>
        <v>1295280.02</v>
      </c>
      <c r="P44" s="71">
        <f>SUM(P16:P41)</f>
        <v>929025.68</v>
      </c>
      <c r="R44" s="71"/>
      <c r="X44" s="70">
        <f t="shared" si="3"/>
        <v>0</v>
      </c>
      <c r="Y44" s="70">
        <f t="shared" si="4"/>
        <v>0</v>
      </c>
      <c r="Z44" s="30">
        <f t="shared" si="5"/>
        <v>0</v>
      </c>
    </row>
    <row r="45" spans="1:26" x14ac:dyDescent="0.25">
      <c r="A45" s="102" t="s">
        <v>53</v>
      </c>
      <c r="B45" s="102"/>
      <c r="C45" s="37"/>
      <c r="D45" s="38"/>
      <c r="E45" s="38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X45" s="70">
        <f t="shared" si="3"/>
        <v>0</v>
      </c>
      <c r="Y45" s="70">
        <f t="shared" si="4"/>
        <v>0</v>
      </c>
      <c r="Z45" s="30">
        <f t="shared" si="5"/>
        <v>0</v>
      </c>
    </row>
    <row r="46" spans="1:26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X46" s="70">
        <f t="shared" si="3"/>
        <v>0</v>
      </c>
      <c r="Y46" s="70">
        <f t="shared" si="4"/>
        <v>0</v>
      </c>
      <c r="Z46" s="30">
        <f t="shared" si="5"/>
        <v>0</v>
      </c>
    </row>
    <row r="47" spans="1:26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X47" s="70">
        <f t="shared" si="3"/>
        <v>0</v>
      </c>
      <c r="Y47" s="70">
        <f t="shared" si="4"/>
        <v>0</v>
      </c>
      <c r="Z47" s="30">
        <f t="shared" si="5"/>
        <v>0</v>
      </c>
    </row>
    <row r="48" spans="1:26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</row>
    <row r="49" spans="1:13" s="63" customFormat="1" x14ac:dyDescent="0.25">
      <c r="A49" s="106" t="s">
        <v>56</v>
      </c>
      <c r="B49" s="106"/>
      <c r="C49" s="39">
        <f>SUM(C14:C48)</f>
        <v>73261346.430000007</v>
      </c>
      <c r="D49" s="40">
        <f>SUM(D14:D48)</f>
        <v>82577247.639999986</v>
      </c>
      <c r="E49" s="40">
        <f>SUM(E14:E48)</f>
        <v>3611104.7899999996</v>
      </c>
      <c r="F49" s="40">
        <f>SUM(F14:F48)</f>
        <v>159449698.85999998</v>
      </c>
      <c r="G49" s="18"/>
      <c r="H49" s="40">
        <f>SUM(H14:H48)</f>
        <v>73261346.430000007</v>
      </c>
      <c r="I49" s="40">
        <f>SUM(I14:I48)</f>
        <v>82632670.48999998</v>
      </c>
      <c r="J49" s="40">
        <f>SUM(J14:J48)</f>
        <v>3448271.67</v>
      </c>
      <c r="K49" s="40">
        <f>SUM(K14:K48)</f>
        <v>159342288.58999997</v>
      </c>
      <c r="L49" s="18"/>
      <c r="M49" s="57">
        <f t="shared" si="2"/>
        <v>107410.27000001073</v>
      </c>
    </row>
    <row r="50" spans="1:13" s="63" customFormat="1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</row>
    <row r="51" spans="1:13" s="63" customFormat="1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30"/>
      <c r="L51" s="14"/>
      <c r="M51" s="14"/>
    </row>
    <row r="52" spans="1:13" s="63" customFormat="1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</row>
    <row r="53" spans="1:13" s="63" customFormat="1" x14ac:dyDescent="0.25">
      <c r="A53" s="103" t="s">
        <v>83</v>
      </c>
      <c r="B53" s="103"/>
      <c r="C53" s="45">
        <f>'[4]113'!H163+'[4]131'!G55+'[4]134'!G75+'[4]141'!G53+'[4]142'!G38+'[4]143'!G32+'[4]154'!H100</f>
        <v>1295280.02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s="63" customFormat="1" x14ac:dyDescent="0.25">
      <c r="A54" s="102" t="s">
        <v>93</v>
      </c>
      <c r="B54" s="102"/>
      <c r="C54" s="45">
        <f>'[4]113'!H162+'[4]131'!G56+'[4]141'!G52+'[4]142'!G37+'[4]154'!H101</f>
        <v>929025.68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</row>
    <row r="55" spans="1:13" s="63" customFormat="1" x14ac:dyDescent="0.25">
      <c r="A55" s="103" t="s">
        <v>61</v>
      </c>
      <c r="B55" s="103"/>
      <c r="C55" s="45">
        <f>-'[4]152'!F62</f>
        <v>-1653273.1800000002</v>
      </c>
      <c r="D55" s="14"/>
      <c r="E55" s="14"/>
      <c r="F55" s="14"/>
      <c r="G55" s="14"/>
      <c r="H55" s="14"/>
      <c r="I55" s="14"/>
      <c r="J55" s="14"/>
      <c r="K55" s="14"/>
      <c r="L55" s="14"/>
      <c r="M55" s="18"/>
    </row>
    <row r="56" spans="1:13" s="63" customFormat="1" x14ac:dyDescent="0.25">
      <c r="A56" s="102" t="s">
        <v>92</v>
      </c>
      <c r="B56" s="102"/>
      <c r="C56" s="45">
        <f>-'[4]152'!F61</f>
        <v>-424166.5</v>
      </c>
      <c r="D56" s="14"/>
      <c r="E56" s="14"/>
      <c r="F56" s="14"/>
      <c r="G56" s="14"/>
      <c r="H56" s="14"/>
      <c r="I56" s="14"/>
      <c r="J56" s="14"/>
      <c r="K56" s="14"/>
      <c r="L56" s="14"/>
      <c r="M56" s="18"/>
    </row>
    <row r="57" spans="1:13" s="63" customFormat="1" x14ac:dyDescent="0.25">
      <c r="A57" s="102" t="s">
        <v>91</v>
      </c>
      <c r="B57" s="102"/>
      <c r="C57" s="45">
        <f>T39+T40</f>
        <v>-20305</v>
      </c>
      <c r="D57" s="14"/>
      <c r="E57" s="14"/>
      <c r="F57" s="14"/>
      <c r="G57" s="14"/>
      <c r="H57" s="14"/>
      <c r="I57" s="14"/>
      <c r="J57" s="14"/>
      <c r="K57" s="14"/>
      <c r="L57" s="14"/>
      <c r="M57" s="18"/>
    </row>
    <row r="58" spans="1:13" s="63" customFormat="1" x14ac:dyDescent="0.25">
      <c r="A58" s="61" t="s">
        <v>90</v>
      </c>
      <c r="B58" s="46"/>
      <c r="C58" s="45">
        <f>Q26+U40</f>
        <v>-19150.749999999978</v>
      </c>
      <c r="D58" s="49"/>
      <c r="E58" s="14"/>
      <c r="F58" s="14"/>
      <c r="G58" s="14"/>
      <c r="H58" s="14"/>
      <c r="I58" s="14"/>
      <c r="J58" s="14"/>
      <c r="K58" s="14"/>
      <c r="L58" s="14"/>
      <c r="M58" s="18"/>
    </row>
    <row r="59" spans="1:13" s="63" customFormat="1" x14ac:dyDescent="0.25">
      <c r="A59" s="50"/>
      <c r="B59" s="50"/>
      <c r="C59" s="43"/>
      <c r="D59" s="49"/>
      <c r="E59" s="14"/>
      <c r="F59" s="14"/>
      <c r="G59" s="14"/>
      <c r="H59" s="14"/>
      <c r="I59" s="14"/>
      <c r="J59" s="14"/>
      <c r="K59" s="14"/>
      <c r="L59" s="14"/>
      <c r="M59" s="18"/>
    </row>
    <row r="60" spans="1:13" s="63" customFormat="1" x14ac:dyDescent="0.25">
      <c r="A60" s="50"/>
      <c r="B60" s="50"/>
      <c r="C60" s="43"/>
      <c r="D60" s="14"/>
      <c r="E60" s="14"/>
      <c r="F60" s="14"/>
      <c r="G60" s="14"/>
      <c r="H60" s="14"/>
      <c r="I60" s="14"/>
      <c r="J60" s="14"/>
      <c r="K60" s="14"/>
      <c r="L60" s="14"/>
      <c r="M60" s="18"/>
    </row>
    <row r="61" spans="1:13" s="63" customFormat="1" x14ac:dyDescent="0.25">
      <c r="A61"/>
      <c r="B61" s="3"/>
      <c r="C61" s="4"/>
      <c r="D61" s="107"/>
      <c r="E61" s="107"/>
      <c r="F61" s="51"/>
      <c r="G61" s="3"/>
      <c r="H61" s="107"/>
      <c r="I61" s="107"/>
      <c r="J61" s="107"/>
      <c r="K61" s="3"/>
      <c r="L61" s="3"/>
      <c r="M61" s="32"/>
    </row>
    <row r="62" spans="1:13" s="63" customFormat="1" ht="15.75" thickBot="1" x14ac:dyDescent="0.3">
      <c r="A62"/>
      <c r="B62" s="3"/>
      <c r="C62" s="4"/>
      <c r="D62" s="107"/>
      <c r="E62" s="107"/>
      <c r="F62" s="52"/>
      <c r="G62" s="3"/>
      <c r="H62" s="111"/>
      <c r="I62" s="111"/>
      <c r="J62" s="25"/>
      <c r="K62" s="112"/>
      <c r="L62" s="112"/>
      <c r="M62" s="112"/>
    </row>
    <row r="63" spans="1:13" s="63" customFormat="1" x14ac:dyDescent="0.25">
      <c r="A63" s="53" t="s">
        <v>62</v>
      </c>
      <c r="B63" s="3"/>
      <c r="C63" s="113" t="s">
        <v>63</v>
      </c>
      <c r="D63" s="113"/>
      <c r="E63" s="52"/>
      <c r="F63" s="52"/>
      <c r="G63" s="3"/>
      <c r="H63" s="113" t="s">
        <v>62</v>
      </c>
      <c r="I63" s="113"/>
      <c r="J63" s="54"/>
      <c r="K63" s="113" t="s">
        <v>63</v>
      </c>
      <c r="L63" s="113"/>
      <c r="M63" s="113"/>
    </row>
    <row r="64" spans="1:13" s="63" customFormat="1" x14ac:dyDescent="0.25">
      <c r="A64" s="55" t="s">
        <v>64</v>
      </c>
      <c r="B64" s="3"/>
      <c r="C64" s="108" t="s">
        <v>65</v>
      </c>
      <c r="D64" s="108"/>
      <c r="E64" s="4"/>
      <c r="F64" s="4"/>
      <c r="G64" s="3"/>
      <c r="H64" s="109" t="s">
        <v>66</v>
      </c>
      <c r="I64" s="109"/>
      <c r="J64" s="4"/>
      <c r="K64" s="109" t="s">
        <v>67</v>
      </c>
      <c r="L64" s="109"/>
      <c r="M64" s="109"/>
    </row>
    <row r="65" spans="1:13" s="63" customFormat="1" x14ac:dyDescent="0.25">
      <c r="A65"/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</row>
    <row r="66" spans="1:13" s="63" customFormat="1" x14ac:dyDescent="0.25">
      <c r="A66"/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</row>
    <row r="67" spans="1:13" s="63" customFormat="1" x14ac:dyDescent="0.25">
      <c r="A67"/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</row>
    <row r="68" spans="1:13" s="63" customFormat="1" ht="15" customHeight="1" x14ac:dyDescent="0.25">
      <c r="A68" s="110" t="s">
        <v>68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</row>
    <row r="69" spans="1:13" s="63" customFormat="1" x14ac:dyDescent="0.25">
      <c r="A69"/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</row>
    <row r="70" spans="1:13" s="63" customFormat="1" x14ac:dyDescent="0.25">
      <c r="A70"/>
      <c r="B70" s="3"/>
      <c r="C70" s="4"/>
      <c r="D70" s="4"/>
      <c r="E70" s="4"/>
      <c r="F70" s="4"/>
      <c r="G70" s="3"/>
      <c r="H70" s="3"/>
      <c r="I70" s="3"/>
      <c r="J70" s="4"/>
      <c r="K70" s="3"/>
      <c r="L70" s="3"/>
      <c r="M70" s="32"/>
    </row>
    <row r="71" spans="1:13" s="63" customFormat="1" x14ac:dyDescent="0.25">
      <c r="A71"/>
      <c r="B71" s="3"/>
      <c r="C71" s="4"/>
      <c r="D71" s="4"/>
      <c r="E71" s="4"/>
      <c r="F71" s="4"/>
      <c r="G71" s="3"/>
      <c r="H71" s="3"/>
      <c r="I71" s="3"/>
      <c r="J71" s="4"/>
      <c r="K71" s="3"/>
      <c r="L71" s="3"/>
      <c r="M71" s="32"/>
    </row>
  </sheetData>
  <mergeCells count="61">
    <mergeCell ref="C64:D64"/>
    <mergeCell ref="H64:I64"/>
    <mergeCell ref="K64:M64"/>
    <mergeCell ref="A68:M68"/>
    <mergeCell ref="D61:E61"/>
    <mergeCell ref="H61:J61"/>
    <mergeCell ref="D62:E62"/>
    <mergeCell ref="H62:I62"/>
    <mergeCell ref="K62:M62"/>
    <mergeCell ref="C63:D63"/>
    <mergeCell ref="A48:B48"/>
    <mergeCell ref="H63:I63"/>
    <mergeCell ref="K63:M63"/>
    <mergeCell ref="A49:B49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8A43-90B6-4E39-A343-27B925FD6D2A}">
  <dimension ref="A1:R68"/>
  <sheetViews>
    <sheetView topLeftCell="A23" zoomScale="86" zoomScaleNormal="86" workbookViewId="0">
      <selection activeCell="B64" sqref="B64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3.42578125" bestFit="1" customWidth="1"/>
    <col min="15" max="15" width="13.42578125" customWidth="1"/>
    <col min="18" max="18" width="16.140625" customWidth="1"/>
  </cols>
  <sheetData>
    <row r="1" spans="1:15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  <c r="O1" s="2"/>
    </row>
    <row r="2" spans="1:15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  <c r="O2" s="3"/>
    </row>
    <row r="3" spans="1:15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  <c r="O3" s="3"/>
    </row>
    <row r="4" spans="1:15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  <c r="O4" s="3"/>
    </row>
    <row r="5" spans="1:15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  <c r="O5" s="3"/>
    </row>
    <row r="6" spans="1:15" ht="15" customHeight="1" x14ac:dyDescent="0.25">
      <c r="A6" s="90" t="s">
        <v>89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  <c r="O6" s="3"/>
    </row>
    <row r="7" spans="1:15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  <c r="O7" s="3"/>
    </row>
    <row r="8" spans="1:15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  <c r="O8" s="3"/>
    </row>
    <row r="9" spans="1:15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3"/>
      <c r="O9" s="3"/>
    </row>
    <row r="10" spans="1:15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  <c r="O10" s="5"/>
    </row>
    <row r="11" spans="1:15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  <c r="O11" s="5"/>
    </row>
    <row r="12" spans="1:15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  <c r="O12" s="5"/>
    </row>
    <row r="13" spans="1:15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5"/>
      <c r="O13" s="5"/>
    </row>
    <row r="14" spans="1:15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  <c r="N14" s="5"/>
      <c r="O14" s="5"/>
    </row>
    <row r="15" spans="1:15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5"/>
      <c r="O15" s="5"/>
    </row>
    <row r="16" spans="1:15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5"/>
      <c r="O16" s="5"/>
    </row>
    <row r="17" spans="1:18" x14ac:dyDescent="0.25">
      <c r="A17" s="103" t="s">
        <v>22</v>
      </c>
      <c r="B17" s="103"/>
      <c r="C17" s="26">
        <v>21537783.239999998</v>
      </c>
      <c r="D17" s="27">
        <v>21564671.25</v>
      </c>
      <c r="E17" s="27">
        <v>139829.29</v>
      </c>
      <c r="F17" s="17">
        <f t="shared" si="0"/>
        <v>43242283.779999994</v>
      </c>
      <c r="G17" s="18"/>
      <c r="H17" s="28">
        <f>'[5]113'!G166</f>
        <v>21537783.239999995</v>
      </c>
      <c r="I17" s="28">
        <f>'[5]113'!G167</f>
        <v>21564671.25</v>
      </c>
      <c r="J17" s="28">
        <f>'[5]113'!G169-'[5]113'!H168</f>
        <v>-636293.24</v>
      </c>
      <c r="K17" s="19">
        <f t="shared" si="1"/>
        <v>42466161.249999993</v>
      </c>
      <c r="L17" s="18"/>
      <c r="M17" s="19">
        <f t="shared" si="2"/>
        <v>776122.53000000119</v>
      </c>
      <c r="N17" s="29" t="s">
        <v>23</v>
      </c>
      <c r="O17" s="62"/>
      <c r="P17" s="30">
        <f t="shared" ref="P17:P47" si="3">C17-H17</f>
        <v>0</v>
      </c>
      <c r="Q17" s="30">
        <f t="shared" ref="Q17:Q47" si="4">D17-I17</f>
        <v>0</v>
      </c>
      <c r="R17" s="30">
        <f t="shared" ref="R17:R47" si="5">E17-J17</f>
        <v>776122.53</v>
      </c>
    </row>
    <row r="18" spans="1:18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5"/>
      <c r="P18" s="30">
        <f t="shared" si="3"/>
        <v>0</v>
      </c>
      <c r="Q18" s="30">
        <f t="shared" si="4"/>
        <v>0</v>
      </c>
      <c r="R18" s="30">
        <f t="shared" si="5"/>
        <v>0</v>
      </c>
    </row>
    <row r="19" spans="1:18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5"/>
      <c r="O19" s="5"/>
      <c r="P19" s="30">
        <f t="shared" si="3"/>
        <v>0</v>
      </c>
      <c r="Q19" s="30">
        <f t="shared" si="4"/>
        <v>0</v>
      </c>
      <c r="R19" s="30">
        <f t="shared" si="5"/>
        <v>0</v>
      </c>
    </row>
    <row r="20" spans="1:18" x14ac:dyDescent="0.25">
      <c r="A20" s="103" t="s">
        <v>26</v>
      </c>
      <c r="B20" s="103"/>
      <c r="C20" s="26">
        <v>5240140.8099999996</v>
      </c>
      <c r="D20" s="27">
        <v>5359344.9799999995</v>
      </c>
      <c r="E20" s="27"/>
      <c r="F20" s="17">
        <f t="shared" si="0"/>
        <v>10599485.789999999</v>
      </c>
      <c r="G20" s="18"/>
      <c r="H20" s="28">
        <f>'[5]121'!F46</f>
        <v>5240140.8100000005</v>
      </c>
      <c r="I20" s="28">
        <f>'[5]121'!F47</f>
        <v>5359344.9799999995</v>
      </c>
      <c r="J20" s="28"/>
      <c r="K20" s="19">
        <f t="shared" si="1"/>
        <v>10599485.789999999</v>
      </c>
      <c r="L20" s="18"/>
      <c r="M20" s="19">
        <f t="shared" si="2"/>
        <v>0</v>
      </c>
      <c r="N20" s="62"/>
      <c r="O20" s="62"/>
      <c r="P20" s="30">
        <f t="shared" si="3"/>
        <v>0</v>
      </c>
      <c r="Q20" s="30">
        <f t="shared" si="4"/>
        <v>0</v>
      </c>
      <c r="R20" s="30">
        <f t="shared" si="5"/>
        <v>0</v>
      </c>
    </row>
    <row r="21" spans="1:18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5"/>
      <c r="O21" s="5"/>
      <c r="P21" s="30">
        <f t="shared" si="3"/>
        <v>0</v>
      </c>
      <c r="Q21" s="30">
        <f t="shared" si="4"/>
        <v>0</v>
      </c>
      <c r="R21" s="30">
        <f t="shared" si="5"/>
        <v>0</v>
      </c>
    </row>
    <row r="22" spans="1:18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5"/>
      <c r="P22" s="30">
        <f t="shared" si="3"/>
        <v>0</v>
      </c>
      <c r="Q22" s="30">
        <f t="shared" si="4"/>
        <v>0</v>
      </c>
      <c r="R22" s="30">
        <f t="shared" si="5"/>
        <v>0</v>
      </c>
    </row>
    <row r="23" spans="1:18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5"/>
      <c r="O23" s="5"/>
      <c r="P23" s="30">
        <f t="shared" si="3"/>
        <v>0</v>
      </c>
      <c r="Q23" s="30">
        <f t="shared" si="4"/>
        <v>0</v>
      </c>
      <c r="R23" s="30">
        <f t="shared" si="5"/>
        <v>0</v>
      </c>
    </row>
    <row r="24" spans="1:18" x14ac:dyDescent="0.25">
      <c r="A24" s="103" t="s">
        <v>30</v>
      </c>
      <c r="B24" s="103"/>
      <c r="C24" s="26">
        <v>2804273.79</v>
      </c>
      <c r="D24" s="27">
        <v>2808385.24</v>
      </c>
      <c r="E24" s="27"/>
      <c r="F24" s="17">
        <f t="shared" si="0"/>
        <v>5612659.0300000003</v>
      </c>
      <c r="G24" s="24"/>
      <c r="H24" s="28">
        <f>'[5]131'!G49</f>
        <v>2804273.79</v>
      </c>
      <c r="I24" s="28">
        <f>'[5]131'!G50</f>
        <v>2808385.24</v>
      </c>
      <c r="J24" s="28">
        <f>-'[5]131'!H51</f>
        <v>-125087.58</v>
      </c>
      <c r="K24" s="19">
        <f t="shared" si="1"/>
        <v>5487571.4500000002</v>
      </c>
      <c r="L24" s="24"/>
      <c r="M24" s="19">
        <f t="shared" si="2"/>
        <v>125087.58000000007</v>
      </c>
      <c r="N24" s="62"/>
      <c r="O24" s="62"/>
      <c r="P24" s="30">
        <f t="shared" si="3"/>
        <v>0</v>
      </c>
      <c r="Q24" s="30">
        <f t="shared" si="4"/>
        <v>0</v>
      </c>
      <c r="R24" s="30">
        <f t="shared" si="5"/>
        <v>125087.58</v>
      </c>
    </row>
    <row r="25" spans="1:18" x14ac:dyDescent="0.25">
      <c r="A25" s="103" t="s">
        <v>31</v>
      </c>
      <c r="B25" s="103"/>
      <c r="C25" s="26"/>
      <c r="D25" s="27"/>
      <c r="E25" s="27">
        <v>269977.49000000005</v>
      </c>
      <c r="F25" s="17">
        <f t="shared" si="0"/>
        <v>269977.49000000005</v>
      </c>
      <c r="G25" s="18"/>
      <c r="H25" s="28"/>
      <c r="I25" s="28"/>
      <c r="J25" s="28">
        <f>'[5]132'!G124</f>
        <v>269977.49</v>
      </c>
      <c r="K25" s="19">
        <f t="shared" si="1"/>
        <v>269977.49</v>
      </c>
      <c r="L25" s="18"/>
      <c r="M25" s="19">
        <f t="shared" si="2"/>
        <v>0</v>
      </c>
      <c r="N25" s="62"/>
      <c r="O25" s="62"/>
      <c r="P25" s="30">
        <f t="shared" si="3"/>
        <v>0</v>
      </c>
      <c r="Q25" s="30">
        <f t="shared" si="4"/>
        <v>0</v>
      </c>
      <c r="R25" s="30">
        <f t="shared" si="5"/>
        <v>0</v>
      </c>
    </row>
    <row r="26" spans="1:18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5"/>
      <c r="O26" s="5"/>
      <c r="P26" s="30">
        <f t="shared" si="3"/>
        <v>0</v>
      </c>
      <c r="Q26" s="30">
        <f t="shared" si="4"/>
        <v>0</v>
      </c>
      <c r="R26" s="30">
        <f t="shared" si="5"/>
        <v>0</v>
      </c>
    </row>
    <row r="27" spans="1:18" x14ac:dyDescent="0.25">
      <c r="A27" s="103" t="s">
        <v>33</v>
      </c>
      <c r="B27" s="103"/>
      <c r="C27" s="26">
        <v>693885.93</v>
      </c>
      <c r="D27" s="27">
        <v>713523.37000000011</v>
      </c>
      <c r="E27" s="27"/>
      <c r="F27" s="17">
        <f t="shared" si="0"/>
        <v>1407409.3000000003</v>
      </c>
      <c r="G27" s="18"/>
      <c r="H27" s="28">
        <f>'[5]134'!F69</f>
        <v>693885.93</v>
      </c>
      <c r="I27" s="28">
        <f>'[5]134'!F70</f>
        <v>713523.37</v>
      </c>
      <c r="J27" s="28">
        <f>-'[5]134'!G71</f>
        <v>-25931.119999999999</v>
      </c>
      <c r="K27" s="19">
        <f t="shared" si="1"/>
        <v>1381478.18</v>
      </c>
      <c r="L27" s="18"/>
      <c r="M27" s="19">
        <f t="shared" si="2"/>
        <v>25931.120000000345</v>
      </c>
      <c r="N27" s="29" t="s">
        <v>23</v>
      </c>
      <c r="O27" s="29"/>
      <c r="P27" s="30">
        <f t="shared" si="3"/>
        <v>0</v>
      </c>
      <c r="Q27" s="30">
        <f t="shared" si="4"/>
        <v>0</v>
      </c>
      <c r="R27" s="30">
        <f t="shared" si="5"/>
        <v>25931.119999999999</v>
      </c>
    </row>
    <row r="28" spans="1:18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62"/>
      <c r="P28" s="30">
        <f t="shared" si="3"/>
        <v>0</v>
      </c>
      <c r="Q28" s="30">
        <f t="shared" si="4"/>
        <v>0</v>
      </c>
      <c r="R28" s="30">
        <f t="shared" si="5"/>
        <v>0</v>
      </c>
    </row>
    <row r="29" spans="1:18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5"/>
      <c r="P29" s="30">
        <f t="shared" si="3"/>
        <v>0</v>
      </c>
      <c r="Q29" s="30">
        <f t="shared" si="4"/>
        <v>0</v>
      </c>
      <c r="R29" s="30">
        <f t="shared" si="5"/>
        <v>0</v>
      </c>
    </row>
    <row r="30" spans="1:18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5"/>
      <c r="P30" s="30">
        <f t="shared" si="3"/>
        <v>0</v>
      </c>
      <c r="Q30" s="30">
        <f t="shared" si="4"/>
        <v>0</v>
      </c>
      <c r="R30" s="30">
        <f t="shared" si="5"/>
        <v>0</v>
      </c>
    </row>
    <row r="31" spans="1:18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5"/>
      <c r="O31" s="62"/>
      <c r="P31" s="30">
        <f t="shared" si="3"/>
        <v>0</v>
      </c>
      <c r="Q31" s="30">
        <f t="shared" si="4"/>
        <v>0</v>
      </c>
      <c r="R31" s="30">
        <f t="shared" si="5"/>
        <v>0</v>
      </c>
    </row>
    <row r="32" spans="1:18" x14ac:dyDescent="0.25">
      <c r="A32" s="33" t="s">
        <v>38</v>
      </c>
      <c r="B32" s="34"/>
      <c r="C32" s="26">
        <v>3352670.8200000003</v>
      </c>
      <c r="D32" s="27">
        <v>3360417.7600000002</v>
      </c>
      <c r="E32" s="27"/>
      <c r="F32" s="17">
        <f t="shared" si="0"/>
        <v>6713088.5800000001</v>
      </c>
      <c r="G32" s="18"/>
      <c r="H32" s="28">
        <f>'[5]141'!F39</f>
        <v>3352670.8200000003</v>
      </c>
      <c r="I32" s="28">
        <f>'[5]141'!F40</f>
        <v>3360417.7600000002</v>
      </c>
      <c r="J32" s="28">
        <f>-'[5]141'!G41</f>
        <v>-121471.01999999999</v>
      </c>
      <c r="K32" s="19">
        <f t="shared" si="1"/>
        <v>6591617.5600000005</v>
      </c>
      <c r="L32" s="18"/>
      <c r="M32" s="19">
        <f t="shared" si="2"/>
        <v>121471.01999999955</v>
      </c>
      <c r="N32" s="29" t="s">
        <v>23</v>
      </c>
      <c r="O32" s="29"/>
      <c r="P32" s="30">
        <f t="shared" si="3"/>
        <v>0</v>
      </c>
      <c r="Q32" s="30">
        <f t="shared" si="4"/>
        <v>0</v>
      </c>
      <c r="R32" s="30">
        <f t="shared" si="5"/>
        <v>121471.01999999999</v>
      </c>
    </row>
    <row r="33" spans="1:18" x14ac:dyDescent="0.25">
      <c r="A33" s="33" t="s">
        <v>39</v>
      </c>
      <c r="B33" s="34"/>
      <c r="C33" s="26">
        <v>1106870.96</v>
      </c>
      <c r="D33" s="27">
        <v>1109428.53</v>
      </c>
      <c r="E33" s="27"/>
      <c r="F33" s="17">
        <f t="shared" si="0"/>
        <v>2216299.4900000002</v>
      </c>
      <c r="G33" s="18"/>
      <c r="H33" s="28">
        <f>'[5]142'!F32</f>
        <v>1106870.96</v>
      </c>
      <c r="I33" s="28">
        <f>'[5]142'!F33</f>
        <v>1109428.53</v>
      </c>
      <c r="J33" s="28">
        <f>-'[5]142'!G34</f>
        <v>-40102.840000000004</v>
      </c>
      <c r="K33" s="19">
        <f t="shared" si="1"/>
        <v>2176196.6500000004</v>
      </c>
      <c r="L33" s="18"/>
      <c r="M33" s="19">
        <f t="shared" si="2"/>
        <v>40102.839999999851</v>
      </c>
      <c r="N33" s="29" t="s">
        <v>23</v>
      </c>
      <c r="O33" s="29"/>
      <c r="P33" s="30">
        <f t="shared" si="3"/>
        <v>0</v>
      </c>
      <c r="Q33" s="30">
        <f t="shared" si="4"/>
        <v>0</v>
      </c>
      <c r="R33" s="30">
        <f t="shared" si="5"/>
        <v>40102.840000000004</v>
      </c>
    </row>
    <row r="34" spans="1:18" x14ac:dyDescent="0.25">
      <c r="A34" s="35" t="s">
        <v>40</v>
      </c>
      <c r="B34" s="36"/>
      <c r="C34" s="26">
        <v>237267.26</v>
      </c>
      <c r="D34" s="27">
        <v>238549.79</v>
      </c>
      <c r="E34" s="27"/>
      <c r="F34" s="17">
        <f t="shared" si="0"/>
        <v>475817.05000000005</v>
      </c>
      <c r="G34" s="18"/>
      <c r="H34" s="28">
        <f>'[5]143'!F24</f>
        <v>237267.26</v>
      </c>
      <c r="I34" s="28">
        <f>'[5]143'!F25</f>
        <v>238549.79</v>
      </c>
      <c r="J34" s="28">
        <f>-'[5]143'!G26</f>
        <v>-13820.240000000002</v>
      </c>
      <c r="K34" s="19">
        <f t="shared" si="1"/>
        <v>461996.81000000006</v>
      </c>
      <c r="L34" s="18"/>
      <c r="M34" s="19">
        <f t="shared" si="2"/>
        <v>13820.239999999991</v>
      </c>
      <c r="N34" s="29" t="s">
        <v>23</v>
      </c>
      <c r="O34" s="29"/>
      <c r="P34" s="30">
        <f t="shared" si="3"/>
        <v>0</v>
      </c>
      <c r="Q34" s="30">
        <f t="shared" si="4"/>
        <v>0</v>
      </c>
      <c r="R34" s="30">
        <f t="shared" si="5"/>
        <v>13820.240000000002</v>
      </c>
    </row>
    <row r="35" spans="1:18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5"/>
      <c r="O35" s="62"/>
      <c r="P35" s="30">
        <f t="shared" si="3"/>
        <v>0</v>
      </c>
      <c r="Q35" s="30">
        <f t="shared" si="4"/>
        <v>0</v>
      </c>
      <c r="R35" s="30">
        <f t="shared" si="5"/>
        <v>0</v>
      </c>
    </row>
    <row r="36" spans="1:18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5"/>
      <c r="O36" s="62"/>
      <c r="P36" s="30">
        <f t="shared" si="3"/>
        <v>0</v>
      </c>
      <c r="Q36" s="30">
        <f t="shared" si="4"/>
        <v>0</v>
      </c>
      <c r="R36" s="30">
        <f t="shared" si="5"/>
        <v>0</v>
      </c>
    </row>
    <row r="37" spans="1:18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5"/>
      <c r="O37" s="5"/>
      <c r="P37" s="30">
        <f t="shared" si="3"/>
        <v>0</v>
      </c>
      <c r="Q37" s="30">
        <f t="shared" si="4"/>
        <v>0</v>
      </c>
      <c r="R37" s="30">
        <f t="shared" si="5"/>
        <v>0</v>
      </c>
    </row>
    <row r="38" spans="1:18" x14ac:dyDescent="0.25">
      <c r="A38" s="103" t="s">
        <v>45</v>
      </c>
      <c r="B38" s="103"/>
      <c r="C38" s="26"/>
      <c r="D38" s="27"/>
      <c r="E38" s="27">
        <v>1495598.4500000002</v>
      </c>
      <c r="F38" s="17">
        <f t="shared" si="0"/>
        <v>1495598.4500000002</v>
      </c>
      <c r="G38" s="18"/>
      <c r="H38" s="28"/>
      <c r="I38" s="28"/>
      <c r="J38" s="28">
        <f>'[5]152'!G55+'[5]152'!G56+'[5]152'!G57</f>
        <v>3136755.33</v>
      </c>
      <c r="K38" s="19">
        <f t="shared" si="1"/>
        <v>3136755.33</v>
      </c>
      <c r="L38" s="18"/>
      <c r="M38" s="19">
        <f t="shared" si="2"/>
        <v>-1641156.88</v>
      </c>
      <c r="N38" s="62" t="s">
        <v>88</v>
      </c>
      <c r="O38" s="62"/>
      <c r="P38" s="30">
        <f t="shared" si="3"/>
        <v>0</v>
      </c>
      <c r="Q38" s="30">
        <f t="shared" si="4"/>
        <v>0</v>
      </c>
      <c r="R38" s="30">
        <f t="shared" si="5"/>
        <v>-1641156.88</v>
      </c>
    </row>
    <row r="39" spans="1:18" x14ac:dyDescent="0.25">
      <c r="A39" s="103" t="s">
        <v>47</v>
      </c>
      <c r="B39" s="103"/>
      <c r="C39" s="26"/>
      <c r="D39" s="27"/>
      <c r="E39" s="27">
        <v>446422.06</v>
      </c>
      <c r="F39" s="17">
        <f t="shared" si="0"/>
        <v>446422.06</v>
      </c>
      <c r="G39" s="18"/>
      <c r="H39" s="28"/>
      <c r="I39" s="28"/>
      <c r="J39" s="28">
        <f>'[5]153'!G47</f>
        <v>446422.06</v>
      </c>
      <c r="K39" s="19">
        <f t="shared" si="1"/>
        <v>446422.06</v>
      </c>
      <c r="L39" s="18"/>
      <c r="M39" s="19">
        <f t="shared" si="2"/>
        <v>0</v>
      </c>
      <c r="N39" s="62"/>
      <c r="O39" s="62"/>
      <c r="P39" s="30">
        <f t="shared" si="3"/>
        <v>0</v>
      </c>
      <c r="Q39" s="30">
        <f t="shared" si="4"/>
        <v>0</v>
      </c>
      <c r="R39" s="30">
        <f t="shared" si="5"/>
        <v>0</v>
      </c>
    </row>
    <row r="40" spans="1:18" x14ac:dyDescent="0.25">
      <c r="A40" s="103" t="s">
        <v>48</v>
      </c>
      <c r="B40" s="103"/>
      <c r="C40" s="26">
        <v>49322438.20000001</v>
      </c>
      <c r="D40" s="27">
        <v>38501755.149999999</v>
      </c>
      <c r="E40" s="27">
        <v>7491990.9600000009</v>
      </c>
      <c r="F40" s="17">
        <f t="shared" si="0"/>
        <v>95316184.310000002</v>
      </c>
      <c r="G40" s="18"/>
      <c r="H40" s="28">
        <f>'[5]154'!F94-'[5]154'!G33</f>
        <v>49322438.199999996</v>
      </c>
      <c r="I40" s="28">
        <f>'[5]154'!F95</f>
        <v>38501755.150000006</v>
      </c>
      <c r="J40" s="28">
        <f>'[5]154'!F96+'[5]154'!F97+'[5]154'!F98-'[5]154'!G99</f>
        <v>6309027.0299999993</v>
      </c>
      <c r="K40" s="19">
        <f t="shared" si="1"/>
        <v>94133220.379999995</v>
      </c>
      <c r="L40" s="18"/>
      <c r="M40" s="19">
        <f t="shared" si="2"/>
        <v>1182963.9300000072</v>
      </c>
      <c r="N40" s="62" t="s">
        <v>70</v>
      </c>
      <c r="O40" s="62"/>
      <c r="P40" s="30">
        <f t="shared" si="3"/>
        <v>0</v>
      </c>
      <c r="Q40" s="30">
        <f t="shared" si="4"/>
        <v>0</v>
      </c>
      <c r="R40" s="30">
        <f t="shared" si="5"/>
        <v>1182963.9300000016</v>
      </c>
    </row>
    <row r="41" spans="1:18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5"/>
      <c r="O41" s="5"/>
      <c r="P41" s="30">
        <f t="shared" si="3"/>
        <v>0</v>
      </c>
      <c r="Q41" s="30">
        <f t="shared" si="4"/>
        <v>0</v>
      </c>
      <c r="R41" s="30">
        <f t="shared" si="5"/>
        <v>0</v>
      </c>
    </row>
    <row r="42" spans="1:18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5"/>
      <c r="O42" s="5"/>
      <c r="P42" s="30">
        <f t="shared" si="3"/>
        <v>0</v>
      </c>
      <c r="Q42" s="30">
        <f t="shared" si="4"/>
        <v>0</v>
      </c>
      <c r="R42" s="30">
        <f t="shared" si="5"/>
        <v>0</v>
      </c>
    </row>
    <row r="43" spans="1:18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5"/>
      <c r="O43" s="5"/>
      <c r="P43" s="30">
        <f t="shared" si="3"/>
        <v>0</v>
      </c>
      <c r="Q43" s="30">
        <f t="shared" si="4"/>
        <v>0</v>
      </c>
      <c r="R43" s="30">
        <f t="shared" si="5"/>
        <v>0</v>
      </c>
    </row>
    <row r="44" spans="1:18" x14ac:dyDescent="0.25">
      <c r="A44" s="103" t="s">
        <v>52</v>
      </c>
      <c r="B44" s="103"/>
      <c r="C44" s="37"/>
      <c r="D44" s="38"/>
      <c r="E44" s="38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5"/>
      <c r="O44" s="5"/>
      <c r="P44" s="30">
        <f t="shared" si="3"/>
        <v>0</v>
      </c>
      <c r="Q44" s="30">
        <f t="shared" si="4"/>
        <v>0</v>
      </c>
      <c r="R44" s="30">
        <f t="shared" si="5"/>
        <v>0</v>
      </c>
    </row>
    <row r="45" spans="1:18" x14ac:dyDescent="0.25">
      <c r="A45" s="102" t="s">
        <v>53</v>
      </c>
      <c r="B45" s="102"/>
      <c r="C45" s="37"/>
      <c r="D45" s="38"/>
      <c r="E45" s="38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5"/>
      <c r="O45" s="5"/>
      <c r="P45" s="30">
        <f t="shared" si="3"/>
        <v>0</v>
      </c>
      <c r="Q45" s="30">
        <f t="shared" si="4"/>
        <v>0</v>
      </c>
      <c r="R45" s="30">
        <f t="shared" si="5"/>
        <v>0</v>
      </c>
    </row>
    <row r="46" spans="1:18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5"/>
      <c r="O46" s="5"/>
      <c r="P46" s="30">
        <f t="shared" si="3"/>
        <v>0</v>
      </c>
      <c r="Q46" s="30">
        <f t="shared" si="4"/>
        <v>0</v>
      </c>
      <c r="R46" s="30">
        <f t="shared" si="5"/>
        <v>0</v>
      </c>
    </row>
    <row r="47" spans="1:18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25"/>
      <c r="O47" s="25"/>
      <c r="P47" s="30">
        <f t="shared" si="3"/>
        <v>0</v>
      </c>
      <c r="Q47" s="30">
        <f t="shared" si="4"/>
        <v>0</v>
      </c>
      <c r="R47" s="30">
        <f t="shared" si="5"/>
        <v>0</v>
      </c>
    </row>
    <row r="48" spans="1:18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  <c r="N48" s="25"/>
      <c r="O48" s="25"/>
    </row>
    <row r="49" spans="1:15" x14ac:dyDescent="0.25">
      <c r="A49" s="106" t="s">
        <v>56</v>
      </c>
      <c r="B49" s="106"/>
      <c r="C49" s="39">
        <f>SUM(C14:C48)</f>
        <v>84295331.010000005</v>
      </c>
      <c r="D49" s="40">
        <f>SUM(D14:D48)</f>
        <v>73656076.069999993</v>
      </c>
      <c r="E49" s="40">
        <f>SUM(E14:E48)</f>
        <v>9843818.25</v>
      </c>
      <c r="F49" s="40">
        <f>SUM(F14:F48)</f>
        <v>167795225.32999998</v>
      </c>
      <c r="G49" s="18"/>
      <c r="H49" s="40">
        <f>SUM(H14:H48)</f>
        <v>84295331.00999999</v>
      </c>
      <c r="I49" s="40">
        <f>SUM(I14:I48)</f>
        <v>73656076.070000008</v>
      </c>
      <c r="J49" s="40">
        <f>SUM(J14:J48)</f>
        <v>9199475.8699999992</v>
      </c>
      <c r="K49" s="40">
        <f>SUM(K14:K48)</f>
        <v>167150882.94999999</v>
      </c>
      <c r="L49" s="18"/>
      <c r="M49" s="57">
        <f t="shared" si="2"/>
        <v>644342.37999999523</v>
      </c>
      <c r="N49" s="59">
        <f>C53+C54+C55+C56-M49</f>
        <v>5.005858838558197E-9</v>
      </c>
      <c r="O49" s="3"/>
    </row>
    <row r="50" spans="1:15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3"/>
      <c r="O50" s="3"/>
    </row>
    <row r="51" spans="1:15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30"/>
      <c r="L51" s="14"/>
      <c r="M51" s="14"/>
      <c r="N51" s="3"/>
      <c r="O51" s="3"/>
    </row>
    <row r="52" spans="1:15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8"/>
      <c r="N52" s="3"/>
      <c r="O52" s="3"/>
    </row>
    <row r="53" spans="1:15" x14ac:dyDescent="0.25">
      <c r="A53" s="103" t="s">
        <v>83</v>
      </c>
      <c r="B53" s="103"/>
      <c r="C53" s="45">
        <f>'[5]113'!H168+'[5]131'!H51+'[5]134'!G71+'[5]141'!G41+'[5]142'!G34+'[5]143'!G26+'[5]154'!G99</f>
        <v>2277842.9300000002</v>
      </c>
      <c r="D53" s="14"/>
      <c r="E53" s="18"/>
      <c r="F53" s="14"/>
      <c r="G53" s="14"/>
      <c r="H53" s="14"/>
      <c r="I53" s="14"/>
      <c r="J53" s="14"/>
      <c r="K53" s="18"/>
      <c r="L53" s="14"/>
      <c r="M53" s="14"/>
      <c r="N53" s="3"/>
      <c r="O53" s="3"/>
    </row>
    <row r="54" spans="1:15" x14ac:dyDescent="0.25">
      <c r="A54" s="47" t="s">
        <v>78</v>
      </c>
      <c r="B54" s="46"/>
      <c r="C54" s="45">
        <f>-'[5]152'!G55</f>
        <v>-557016.96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3"/>
      <c r="O54" s="3"/>
    </row>
    <row r="55" spans="1:15" x14ac:dyDescent="0.25">
      <c r="A55" s="103" t="s">
        <v>87</v>
      </c>
      <c r="B55" s="102"/>
      <c r="C55" s="45">
        <f>-'[5]152'!G56</f>
        <v>-1084139.92</v>
      </c>
      <c r="D55" s="14"/>
      <c r="E55" s="49"/>
      <c r="F55" s="14"/>
      <c r="G55" s="14"/>
      <c r="H55" s="14"/>
      <c r="I55" s="14"/>
      <c r="J55" s="14"/>
      <c r="K55" s="14"/>
      <c r="L55" s="14"/>
      <c r="M55" s="18"/>
      <c r="N55" s="3"/>
      <c r="O55" s="3"/>
    </row>
    <row r="56" spans="1:15" x14ac:dyDescent="0.25">
      <c r="A56" s="102" t="s">
        <v>86</v>
      </c>
      <c r="B56" s="102"/>
      <c r="C56" s="45">
        <f>-'[5]154'!F97</f>
        <v>7656.33</v>
      </c>
      <c r="D56" s="49"/>
      <c r="E56" s="14"/>
      <c r="F56" s="14"/>
      <c r="G56" s="14"/>
      <c r="H56" s="14"/>
      <c r="I56" s="14"/>
      <c r="J56" s="14"/>
      <c r="K56" s="14"/>
      <c r="L56" s="14"/>
      <c r="M56" s="18"/>
      <c r="N56" s="3"/>
      <c r="O56" s="3"/>
    </row>
    <row r="57" spans="1:15" x14ac:dyDescent="0.25">
      <c r="A57" s="50"/>
      <c r="B57" s="50"/>
      <c r="C57" s="43"/>
      <c r="D57" s="49"/>
      <c r="E57" s="14"/>
      <c r="F57" s="14"/>
      <c r="G57" s="14"/>
      <c r="H57" s="14"/>
      <c r="I57" s="14"/>
      <c r="J57" s="14"/>
      <c r="K57" s="14"/>
      <c r="L57" s="14"/>
      <c r="M57" s="18"/>
      <c r="N57" s="3"/>
      <c r="O57" s="3"/>
    </row>
    <row r="58" spans="1:15" x14ac:dyDescent="0.25">
      <c r="B58" s="3"/>
      <c r="C58" s="4"/>
      <c r="D58" s="107"/>
      <c r="E58" s="107"/>
      <c r="F58" s="51"/>
      <c r="G58" s="3"/>
      <c r="H58" s="107"/>
      <c r="I58" s="107"/>
      <c r="J58" s="107"/>
      <c r="K58" s="3"/>
      <c r="L58" s="3"/>
      <c r="M58" s="32"/>
      <c r="N58" s="32"/>
      <c r="O58" s="32"/>
    </row>
    <row r="59" spans="1:15" ht="15.75" thickBot="1" x14ac:dyDescent="0.3">
      <c r="B59" s="3"/>
      <c r="C59" s="4"/>
      <c r="D59" s="107"/>
      <c r="E59" s="107"/>
      <c r="F59" s="52"/>
      <c r="G59" s="3"/>
      <c r="H59" s="111"/>
      <c r="I59" s="111"/>
      <c r="J59" s="25"/>
      <c r="K59" s="112"/>
      <c r="L59" s="112"/>
      <c r="M59" s="112"/>
      <c r="N59" s="32"/>
      <c r="O59" s="32"/>
    </row>
    <row r="60" spans="1:15" x14ac:dyDescent="0.25">
      <c r="A60" s="53" t="s">
        <v>62</v>
      </c>
      <c r="B60" s="3"/>
      <c r="C60" s="113" t="s">
        <v>63</v>
      </c>
      <c r="D60" s="113"/>
      <c r="E60" s="52"/>
      <c r="F60" s="52"/>
      <c r="G60" s="3"/>
      <c r="H60" s="113" t="s">
        <v>62</v>
      </c>
      <c r="I60" s="113"/>
      <c r="J60" s="54"/>
      <c r="K60" s="113" t="s">
        <v>63</v>
      </c>
      <c r="L60" s="113"/>
      <c r="M60" s="113"/>
      <c r="N60" s="32"/>
      <c r="O60" s="32"/>
    </row>
    <row r="61" spans="1:15" x14ac:dyDescent="0.25">
      <c r="A61" s="55" t="s">
        <v>64</v>
      </c>
      <c r="B61" s="3"/>
      <c r="C61" s="108" t="s">
        <v>65</v>
      </c>
      <c r="D61" s="108"/>
      <c r="E61" s="4"/>
      <c r="F61" s="4"/>
      <c r="G61" s="3"/>
      <c r="H61" s="109" t="s">
        <v>66</v>
      </c>
      <c r="I61" s="109"/>
      <c r="J61" s="4"/>
      <c r="K61" s="109" t="s">
        <v>67</v>
      </c>
      <c r="L61" s="109"/>
      <c r="M61" s="109"/>
      <c r="N61" s="32"/>
      <c r="O61" s="32"/>
    </row>
    <row r="62" spans="1:15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32"/>
      <c r="O62" s="32"/>
    </row>
    <row r="63" spans="1:15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  <c r="O63" s="32"/>
    </row>
    <row r="64" spans="1:15" x14ac:dyDescent="0.25">
      <c r="B64" s="3"/>
      <c r="C64" s="4"/>
      <c r="D64" s="4"/>
      <c r="E64" s="4"/>
      <c r="F64" s="4"/>
      <c r="G64" s="3"/>
      <c r="H64" s="3"/>
      <c r="I64" s="3"/>
      <c r="J64" s="4"/>
      <c r="K64" s="3"/>
      <c r="L64" s="3"/>
      <c r="M64" s="32"/>
      <c r="N64" s="32"/>
      <c r="O64" s="32"/>
    </row>
    <row r="65" spans="1:15" ht="15" customHeight="1" x14ac:dyDescent="0.25">
      <c r="A65" s="110" t="s">
        <v>68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32"/>
      <c r="O65" s="32"/>
    </row>
    <row r="66" spans="1:15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32"/>
      <c r="O66" s="32"/>
    </row>
    <row r="67" spans="1:15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  <c r="O67" s="32"/>
    </row>
    <row r="68" spans="1:15" ht="21" customHeight="1" x14ac:dyDescent="0.25"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32"/>
      <c r="O68" s="32"/>
    </row>
  </sheetData>
  <mergeCells count="59">
    <mergeCell ref="A65:M65"/>
    <mergeCell ref="D59:E59"/>
    <mergeCell ref="H59:I59"/>
    <mergeCell ref="K59:M59"/>
    <mergeCell ref="C60:D60"/>
    <mergeCell ref="H60:I60"/>
    <mergeCell ref="K60:M60"/>
    <mergeCell ref="D58:E58"/>
    <mergeCell ref="H58:J58"/>
    <mergeCell ref="C61:D61"/>
    <mergeCell ref="H61:I61"/>
    <mergeCell ref="K61:M61"/>
    <mergeCell ref="A48:B48"/>
    <mergeCell ref="A49:B49"/>
    <mergeCell ref="A53:B53"/>
    <mergeCell ref="A55:B55"/>
    <mergeCell ref="A56:B56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702F-A9DB-4EFD-A169-D3F319DCAB85}">
  <dimension ref="A1:V70"/>
  <sheetViews>
    <sheetView zoomScale="90" zoomScaleNormal="90" workbookViewId="0">
      <selection activeCell="Q41" sqref="Q41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3" style="63" bestFit="1" customWidth="1"/>
    <col min="15" max="15" width="16.140625" style="65" customWidth="1"/>
    <col min="16" max="16" width="13" style="65" customWidth="1"/>
    <col min="17" max="19" width="15.85546875" style="65" customWidth="1"/>
    <col min="20" max="20" width="13.5703125" style="30" bestFit="1" customWidth="1"/>
    <col min="22" max="22" width="15.7109375" customWidth="1"/>
  </cols>
  <sheetData>
    <row r="1" spans="1:19" s="30" customFormat="1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69"/>
      <c r="P1" s="69"/>
      <c r="Q1" s="69"/>
      <c r="R1" s="69"/>
      <c r="S1" s="69"/>
    </row>
    <row r="2" spans="1:19" s="30" customFormat="1" ht="26.25" x14ac:dyDescent="0.4">
      <c r="A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  <c r="O2" s="62"/>
      <c r="P2" s="62"/>
      <c r="Q2" s="62"/>
      <c r="R2" s="62"/>
      <c r="S2" s="62"/>
    </row>
    <row r="3" spans="1:19" s="30" customFormat="1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"/>
      <c r="O3" s="62"/>
      <c r="P3" s="62"/>
      <c r="Q3" s="62"/>
      <c r="R3" s="62"/>
      <c r="S3" s="62"/>
    </row>
    <row r="4" spans="1:19" s="30" customFormat="1" x14ac:dyDescent="0.25">
      <c r="A4"/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5"/>
      <c r="O4" s="62"/>
      <c r="P4" s="62"/>
      <c r="Q4" s="62"/>
      <c r="R4" s="62"/>
      <c r="S4" s="62"/>
    </row>
    <row r="5" spans="1:19" s="30" customFormat="1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5"/>
      <c r="O5" s="62"/>
      <c r="P5" s="62"/>
      <c r="Q5" s="62"/>
      <c r="R5" s="62"/>
      <c r="S5" s="62"/>
    </row>
    <row r="6" spans="1:19" s="30" customFormat="1" ht="15" customHeight="1" x14ac:dyDescent="0.25">
      <c r="A6" s="90" t="s">
        <v>85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5"/>
      <c r="O6" s="62"/>
      <c r="P6" s="62"/>
      <c r="Q6" s="62"/>
      <c r="R6" s="62"/>
      <c r="S6" s="62"/>
    </row>
    <row r="7" spans="1:19" s="30" customFormat="1" x14ac:dyDescent="0.25">
      <c r="A7"/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5"/>
      <c r="O7" s="62"/>
      <c r="P7" s="62"/>
      <c r="Q7" s="62"/>
      <c r="R7" s="62"/>
      <c r="S7" s="62"/>
    </row>
    <row r="8" spans="1:19" s="30" customFormat="1" x14ac:dyDescent="0.25">
      <c r="A8"/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5"/>
      <c r="O8" s="62"/>
      <c r="P8" s="62"/>
      <c r="Q8" s="62"/>
      <c r="R8" s="62"/>
      <c r="S8" s="62"/>
    </row>
    <row r="9" spans="1:19" s="30" customFormat="1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5"/>
      <c r="O9" s="62"/>
      <c r="P9" s="62"/>
      <c r="Q9" s="62"/>
      <c r="R9" s="62"/>
      <c r="S9" s="62"/>
    </row>
    <row r="10" spans="1:19" s="30" customFormat="1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  <c r="O10" s="62"/>
      <c r="P10" s="62"/>
      <c r="Q10" s="62"/>
      <c r="R10" s="62"/>
      <c r="S10" s="62"/>
    </row>
    <row r="11" spans="1:19" s="30" customFormat="1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  <c r="O11" s="62"/>
      <c r="P11" s="62"/>
      <c r="Q11" s="62"/>
      <c r="R11" s="62"/>
      <c r="S11" s="62"/>
    </row>
    <row r="12" spans="1:19" s="30" customFormat="1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  <c r="O12" s="62"/>
      <c r="P12" s="62"/>
      <c r="Q12" s="62"/>
      <c r="R12" s="62"/>
      <c r="S12" s="62"/>
    </row>
    <row r="13" spans="1:19" s="30" customFormat="1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5"/>
      <c r="O13" s="62"/>
      <c r="P13" s="62"/>
      <c r="Q13" s="62"/>
      <c r="R13" s="62"/>
      <c r="S13" s="62"/>
    </row>
    <row r="14" spans="1:19" s="30" customFormat="1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  <c r="N14" s="5"/>
      <c r="O14" s="62"/>
      <c r="P14" s="62"/>
      <c r="Q14" s="62"/>
      <c r="R14" s="62"/>
      <c r="S14" s="62"/>
    </row>
    <row r="15" spans="1:19" s="30" customFormat="1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5"/>
      <c r="O15" s="62"/>
      <c r="P15" s="62"/>
      <c r="Q15" s="62"/>
      <c r="R15" s="62"/>
      <c r="S15" s="62"/>
    </row>
    <row r="16" spans="1:19" s="30" customFormat="1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56"/>
      <c r="O16" s="66"/>
      <c r="P16" s="66"/>
      <c r="Q16" s="66"/>
      <c r="R16" s="66"/>
      <c r="S16" s="66"/>
    </row>
    <row r="17" spans="1:22" x14ac:dyDescent="0.25">
      <c r="A17" s="103" t="s">
        <v>22</v>
      </c>
      <c r="B17" s="103"/>
      <c r="C17" s="26">
        <v>21984619.610000003</v>
      </c>
      <c r="D17" s="27">
        <v>21196133.580000002</v>
      </c>
      <c r="E17" s="27">
        <v>743867.91</v>
      </c>
      <c r="F17" s="17">
        <f t="shared" si="0"/>
        <v>43924621.100000001</v>
      </c>
      <c r="G17" s="18"/>
      <c r="H17" s="28">
        <f>'[6]113'!G162</f>
        <v>21984619.609999996</v>
      </c>
      <c r="I17" s="28">
        <f>'[6]113'!G163</f>
        <v>21196133.579999998</v>
      </c>
      <c r="J17" s="28">
        <f>'[6]113'!G167+'[6]113'!G164-'[6]113'!H165-'[6]113'!H166</f>
        <v>-27463.849999999977</v>
      </c>
      <c r="K17" s="19">
        <f t="shared" si="1"/>
        <v>43153289.339999996</v>
      </c>
      <c r="L17" s="18"/>
      <c r="M17" s="19">
        <f t="shared" si="2"/>
        <v>771331.76000000536</v>
      </c>
      <c r="N17" s="29" t="s">
        <v>23</v>
      </c>
      <c r="O17" s="62">
        <f>'[6]113'!H166</f>
        <v>763863.86</v>
      </c>
      <c r="P17" s="62">
        <f>'[6]113'!H165</f>
        <v>7467.9</v>
      </c>
      <c r="Q17" s="67">
        <f>SUM(O17:P17)</f>
        <v>771331.76</v>
      </c>
      <c r="R17" s="62"/>
      <c r="S17" s="62"/>
      <c r="T17" s="30">
        <f t="shared" ref="T17:T42" si="3">C17-H17</f>
        <v>0</v>
      </c>
      <c r="U17" s="30">
        <f t="shared" ref="U17:U42" si="4">D17-I17</f>
        <v>0</v>
      </c>
      <c r="V17" s="30">
        <f t="shared" ref="V17:V42" si="5">E17-J17</f>
        <v>771331.76</v>
      </c>
    </row>
    <row r="18" spans="1:22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62"/>
      <c r="P18" s="62"/>
      <c r="Q18" s="67"/>
      <c r="R18" s="62"/>
      <c r="S18" s="62"/>
      <c r="T18" s="30">
        <f t="shared" si="3"/>
        <v>0</v>
      </c>
      <c r="U18" s="30">
        <f t="shared" si="4"/>
        <v>0</v>
      </c>
      <c r="V18" s="30">
        <f t="shared" si="5"/>
        <v>0</v>
      </c>
    </row>
    <row r="19" spans="1:22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5"/>
      <c r="O19" s="62"/>
      <c r="P19" s="62"/>
      <c r="Q19" s="67"/>
      <c r="R19" s="62"/>
      <c r="S19" s="62"/>
      <c r="T19" s="30">
        <f t="shared" si="3"/>
        <v>0</v>
      </c>
      <c r="U19" s="30">
        <f t="shared" si="4"/>
        <v>0</v>
      </c>
      <c r="V19" s="30">
        <f t="shared" si="5"/>
        <v>0</v>
      </c>
    </row>
    <row r="20" spans="1:22" x14ac:dyDescent="0.25">
      <c r="A20" s="103" t="s">
        <v>26</v>
      </c>
      <c r="B20" s="103"/>
      <c r="C20" s="26">
        <v>5128637.1399999997</v>
      </c>
      <c r="D20" s="27">
        <v>5219699.1399999997</v>
      </c>
      <c r="E20" s="27"/>
      <c r="F20" s="17">
        <f t="shared" si="0"/>
        <v>10348336.279999999</v>
      </c>
      <c r="G20" s="18"/>
      <c r="H20" s="28">
        <f>'[6]121'!F48</f>
        <v>5128637.1399999997</v>
      </c>
      <c r="I20" s="28">
        <f>'[6]121'!F49</f>
        <v>5219699.1400000006</v>
      </c>
      <c r="J20" s="28"/>
      <c r="K20" s="19">
        <f t="shared" si="1"/>
        <v>10348336.280000001</v>
      </c>
      <c r="L20" s="18"/>
      <c r="M20" s="19">
        <f t="shared" si="2"/>
        <v>0</v>
      </c>
      <c r="N20" s="5"/>
      <c r="O20" s="62"/>
      <c r="P20" s="62"/>
      <c r="Q20" s="67"/>
      <c r="R20" s="62"/>
      <c r="S20" s="62"/>
      <c r="T20" s="30">
        <f t="shared" si="3"/>
        <v>0</v>
      </c>
      <c r="U20" s="30">
        <f t="shared" si="4"/>
        <v>0</v>
      </c>
      <c r="V20" s="30">
        <f t="shared" si="5"/>
        <v>0</v>
      </c>
    </row>
    <row r="21" spans="1:22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56"/>
      <c r="O21" s="66"/>
      <c r="P21" s="66"/>
      <c r="Q21" s="68"/>
      <c r="R21" s="66"/>
      <c r="S21" s="66"/>
      <c r="T21" s="30">
        <f t="shared" si="3"/>
        <v>0</v>
      </c>
      <c r="U21" s="30">
        <f t="shared" si="4"/>
        <v>0</v>
      </c>
      <c r="V21" s="30">
        <f t="shared" si="5"/>
        <v>0</v>
      </c>
    </row>
    <row r="22" spans="1:22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62"/>
      <c r="P22" s="62"/>
      <c r="Q22" s="67"/>
      <c r="R22" s="62"/>
      <c r="S22" s="62"/>
      <c r="T22" s="30">
        <f t="shared" si="3"/>
        <v>0</v>
      </c>
      <c r="U22" s="30">
        <f t="shared" si="4"/>
        <v>0</v>
      </c>
      <c r="V22" s="30">
        <f t="shared" si="5"/>
        <v>0</v>
      </c>
    </row>
    <row r="23" spans="1:22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5"/>
      <c r="O23" s="62"/>
      <c r="P23" s="62"/>
      <c r="Q23" s="67"/>
      <c r="R23" s="62"/>
      <c r="S23" s="62"/>
      <c r="T23" s="30">
        <f t="shared" si="3"/>
        <v>0</v>
      </c>
      <c r="U23" s="30">
        <f t="shared" si="4"/>
        <v>0</v>
      </c>
      <c r="V23" s="30">
        <f t="shared" si="5"/>
        <v>0</v>
      </c>
    </row>
    <row r="24" spans="1:22" x14ac:dyDescent="0.25">
      <c r="A24" s="103" t="s">
        <v>30</v>
      </c>
      <c r="B24" s="103"/>
      <c r="C24" s="26">
        <v>2787774.04</v>
      </c>
      <c r="D24" s="27">
        <v>2791026.65</v>
      </c>
      <c r="E24" s="27"/>
      <c r="F24" s="17">
        <f t="shared" si="0"/>
        <v>5578800.6899999995</v>
      </c>
      <c r="G24" s="24"/>
      <c r="H24" s="28">
        <f>'[6]131'!G48</f>
        <v>2787774.04</v>
      </c>
      <c r="I24" s="28">
        <f>'[6]131'!G49</f>
        <v>2791026.65</v>
      </c>
      <c r="J24" s="28">
        <f>-'[6]131'!H50-'[6]131'!H51</f>
        <v>-122349.36</v>
      </c>
      <c r="K24" s="19">
        <f t="shared" si="1"/>
        <v>5456451.3299999991</v>
      </c>
      <c r="L24" s="24"/>
      <c r="M24" s="19">
        <f t="shared" si="2"/>
        <v>122349.36000000034</v>
      </c>
      <c r="N24" s="29" t="s">
        <v>79</v>
      </c>
      <c r="O24" s="62">
        <f>'[6]131'!H50</f>
        <v>121602.56</v>
      </c>
      <c r="P24" s="62">
        <f>'[6]131'!H51</f>
        <v>746.8</v>
      </c>
      <c r="Q24" s="67">
        <f>SUM(O24:P24)</f>
        <v>122349.36</v>
      </c>
      <c r="R24" s="62"/>
      <c r="S24" s="62"/>
      <c r="T24" s="30">
        <f t="shared" si="3"/>
        <v>0</v>
      </c>
      <c r="U24" s="30">
        <f t="shared" si="4"/>
        <v>0</v>
      </c>
      <c r="V24" s="30">
        <f t="shared" si="5"/>
        <v>122349.36</v>
      </c>
    </row>
    <row r="25" spans="1:22" x14ac:dyDescent="0.25">
      <c r="A25" s="103" t="s">
        <v>31</v>
      </c>
      <c r="B25" s="103"/>
      <c r="C25" s="26">
        <v>15229540.550000001</v>
      </c>
      <c r="D25" s="27">
        <v>6546.56</v>
      </c>
      <c r="E25" s="27">
        <v>140478.45000000001</v>
      </c>
      <c r="F25" s="17">
        <f t="shared" si="0"/>
        <v>15376565.560000001</v>
      </c>
      <c r="G25" s="18"/>
      <c r="H25" s="28">
        <f>'[6]132'!G89</f>
        <v>15229540.550000001</v>
      </c>
      <c r="I25" s="28">
        <f>'[6]132'!G90</f>
        <v>6546.56</v>
      </c>
      <c r="J25" s="28">
        <f>-'[6]132'!H91-'[6]132'!H92+'[6]132'!G93</f>
        <v>-214149.68000000002</v>
      </c>
      <c r="K25" s="19">
        <f t="shared" si="1"/>
        <v>15021937.430000002</v>
      </c>
      <c r="L25" s="18"/>
      <c r="M25" s="19">
        <f t="shared" si="2"/>
        <v>354628.12999999896</v>
      </c>
      <c r="N25" s="29" t="s">
        <v>79</v>
      </c>
      <c r="O25" s="62">
        <f>'[6]132'!H91</f>
        <v>352761.15</v>
      </c>
      <c r="P25" s="62">
        <f>'[6]132'!H92</f>
        <v>1866.98</v>
      </c>
      <c r="Q25" s="67">
        <f>SUM(O25:P25)</f>
        <v>354628.13</v>
      </c>
      <c r="R25" s="62"/>
      <c r="S25" s="62"/>
      <c r="T25" s="30">
        <f t="shared" si="3"/>
        <v>0</v>
      </c>
      <c r="U25" s="30">
        <f t="shared" si="4"/>
        <v>0</v>
      </c>
      <c r="V25" s="30">
        <f t="shared" si="5"/>
        <v>354628.13</v>
      </c>
    </row>
    <row r="26" spans="1:22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5"/>
      <c r="O26" s="62"/>
      <c r="P26" s="62"/>
      <c r="Q26" s="67"/>
      <c r="R26" s="62"/>
      <c r="S26" s="62"/>
      <c r="T26" s="30">
        <f t="shared" si="3"/>
        <v>0</v>
      </c>
      <c r="U26" s="30">
        <f t="shared" si="4"/>
        <v>0</v>
      </c>
      <c r="V26" s="30">
        <f t="shared" si="5"/>
        <v>0</v>
      </c>
    </row>
    <row r="27" spans="1:22" x14ac:dyDescent="0.25">
      <c r="A27" s="103" t="s">
        <v>33</v>
      </c>
      <c r="B27" s="103"/>
      <c r="C27" s="26">
        <v>776177.98</v>
      </c>
      <c r="D27" s="27">
        <v>597591.99</v>
      </c>
      <c r="E27" s="27"/>
      <c r="F27" s="17">
        <f t="shared" si="0"/>
        <v>1373769.97</v>
      </c>
      <c r="G27" s="18"/>
      <c r="H27" s="28">
        <f>'[6]134'!F68</f>
        <v>776177.9800000001</v>
      </c>
      <c r="I27" s="28">
        <f>'[6]134'!F69</f>
        <v>597591.99</v>
      </c>
      <c r="J27" s="28">
        <f>-'[6]134'!G70</f>
        <v>-12965.56</v>
      </c>
      <c r="K27" s="19">
        <f t="shared" si="1"/>
        <v>1360804.4100000001</v>
      </c>
      <c r="L27" s="18"/>
      <c r="M27" s="19">
        <f t="shared" si="2"/>
        <v>12965.559999999823</v>
      </c>
      <c r="N27" s="29" t="s">
        <v>23</v>
      </c>
      <c r="O27" s="62">
        <f>'[6]134'!G70</f>
        <v>12965.56</v>
      </c>
      <c r="P27" s="62"/>
      <c r="Q27" s="67">
        <f>O27+P27</f>
        <v>12965.56</v>
      </c>
      <c r="R27" s="62"/>
      <c r="S27" s="62"/>
      <c r="T27" s="30">
        <f t="shared" si="3"/>
        <v>0</v>
      </c>
      <c r="U27" s="30">
        <f t="shared" si="4"/>
        <v>0</v>
      </c>
      <c r="V27" s="30">
        <f t="shared" si="5"/>
        <v>12965.56</v>
      </c>
    </row>
    <row r="28" spans="1:22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62"/>
      <c r="P28" s="62"/>
      <c r="Q28" s="67"/>
      <c r="R28" s="62"/>
      <c r="S28" s="62"/>
      <c r="T28" s="30">
        <f t="shared" si="3"/>
        <v>0</v>
      </c>
      <c r="U28" s="30">
        <f t="shared" si="4"/>
        <v>0</v>
      </c>
      <c r="V28" s="30">
        <f t="shared" si="5"/>
        <v>0</v>
      </c>
    </row>
    <row r="29" spans="1:22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62"/>
      <c r="P29" s="62"/>
      <c r="Q29" s="67"/>
      <c r="R29" s="62"/>
      <c r="S29" s="62"/>
      <c r="T29" s="30">
        <f t="shared" si="3"/>
        <v>0</v>
      </c>
      <c r="U29" s="30">
        <f t="shared" si="4"/>
        <v>0</v>
      </c>
      <c r="V29" s="30">
        <f t="shared" si="5"/>
        <v>0</v>
      </c>
    </row>
    <row r="30" spans="1:22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62"/>
      <c r="P30" s="62"/>
      <c r="Q30" s="67"/>
      <c r="R30" s="62"/>
      <c r="S30" s="62"/>
      <c r="T30" s="30">
        <f t="shared" si="3"/>
        <v>0</v>
      </c>
      <c r="U30" s="30">
        <f t="shared" si="4"/>
        <v>0</v>
      </c>
      <c r="V30" s="30">
        <f t="shared" si="5"/>
        <v>0</v>
      </c>
    </row>
    <row r="31" spans="1:22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5"/>
      <c r="O31" s="62"/>
      <c r="P31" s="62"/>
      <c r="Q31" s="67"/>
      <c r="R31" s="62"/>
      <c r="S31" s="62"/>
      <c r="T31" s="30">
        <f t="shared" si="3"/>
        <v>0</v>
      </c>
      <c r="U31" s="30">
        <f t="shared" si="4"/>
        <v>0</v>
      </c>
      <c r="V31" s="30">
        <f t="shared" si="5"/>
        <v>0</v>
      </c>
    </row>
    <row r="32" spans="1:22" x14ac:dyDescent="0.25">
      <c r="A32" s="33" t="s">
        <v>38</v>
      </c>
      <c r="B32" s="34"/>
      <c r="C32" s="26">
        <v>3417848.41</v>
      </c>
      <c r="D32" s="27">
        <v>3299918.2199999997</v>
      </c>
      <c r="E32" s="27">
        <v>158063.95000000001</v>
      </c>
      <c r="F32" s="17">
        <f t="shared" si="0"/>
        <v>6875830.5800000001</v>
      </c>
      <c r="G32" s="18"/>
      <c r="H32" s="28">
        <f>'[6]141'!F38</f>
        <v>3417848.41</v>
      </c>
      <c r="I32" s="28">
        <f>'[6]141'!F39</f>
        <v>3299918.2199999997</v>
      </c>
      <c r="J32" s="28">
        <f>'[6]141'!F40-'[6]141'!G41-'[6]141'!G42</f>
        <v>40671.690000000017</v>
      </c>
      <c r="K32" s="19">
        <f t="shared" si="1"/>
        <v>6758438.3200000003</v>
      </c>
      <c r="L32" s="18"/>
      <c r="M32" s="19">
        <f t="shared" si="2"/>
        <v>117392.25999999978</v>
      </c>
      <c r="N32" s="5" t="s">
        <v>79</v>
      </c>
      <c r="O32" s="62">
        <f>'[6]141'!G42</f>
        <v>116261.26</v>
      </c>
      <c r="P32" s="62">
        <f>'[6]141'!G41</f>
        <v>1131</v>
      </c>
      <c r="Q32" s="67">
        <f>O32+P32</f>
        <v>117392.26</v>
      </c>
      <c r="R32" s="62"/>
      <c r="S32" s="62"/>
      <c r="T32" s="30">
        <f t="shared" si="3"/>
        <v>0</v>
      </c>
      <c r="U32" s="30">
        <f t="shared" si="4"/>
        <v>0</v>
      </c>
      <c r="V32" s="30">
        <f t="shared" si="5"/>
        <v>117392.26</v>
      </c>
    </row>
    <row r="33" spans="1:22" x14ac:dyDescent="0.25">
      <c r="A33" s="33" t="s">
        <v>39</v>
      </c>
      <c r="B33" s="34"/>
      <c r="C33" s="26">
        <v>1128388.74</v>
      </c>
      <c r="D33" s="27">
        <v>1089454.76</v>
      </c>
      <c r="E33" s="27">
        <v>152718.78</v>
      </c>
      <c r="F33" s="17">
        <f t="shared" si="0"/>
        <v>2370562.2799999998</v>
      </c>
      <c r="G33" s="18"/>
      <c r="H33" s="28">
        <f>'[6]142'!F31</f>
        <v>1128388.74</v>
      </c>
      <c r="I33" s="28">
        <f>'[6]142'!F32</f>
        <v>1089454.76</v>
      </c>
      <c r="J33" s="28">
        <f>'[6]142'!F35-'[6]142'!G33-'[6]142'!G34</f>
        <v>97613.61</v>
      </c>
      <c r="K33" s="19">
        <f t="shared" si="1"/>
        <v>2315457.11</v>
      </c>
      <c r="L33" s="18"/>
      <c r="M33" s="19">
        <f t="shared" si="2"/>
        <v>55105.169999999925</v>
      </c>
      <c r="N33" s="29" t="s">
        <v>79</v>
      </c>
      <c r="O33" s="62">
        <f>'[6]142'!G34</f>
        <v>54731.770000000004</v>
      </c>
      <c r="P33" s="62">
        <f>'[6]142'!G33</f>
        <v>373.4</v>
      </c>
      <c r="Q33" s="67">
        <f>P33+O33</f>
        <v>55105.170000000006</v>
      </c>
      <c r="R33" s="62"/>
      <c r="S33" s="62"/>
      <c r="T33" s="30">
        <f t="shared" si="3"/>
        <v>0</v>
      </c>
      <c r="U33" s="30">
        <f t="shared" si="4"/>
        <v>0</v>
      </c>
      <c r="V33" s="30">
        <f t="shared" si="5"/>
        <v>55105.17</v>
      </c>
    </row>
    <row r="34" spans="1:22" x14ac:dyDescent="0.25">
      <c r="A34" s="35" t="s">
        <v>40</v>
      </c>
      <c r="B34" s="36"/>
      <c r="C34" s="26">
        <v>237677.51</v>
      </c>
      <c r="D34" s="27">
        <v>237900.3</v>
      </c>
      <c r="E34" s="27"/>
      <c r="F34" s="17">
        <f t="shared" si="0"/>
        <v>475577.81</v>
      </c>
      <c r="G34" s="18"/>
      <c r="H34" s="28">
        <f>'[6]143'!F24</f>
        <v>237677.51</v>
      </c>
      <c r="I34" s="28">
        <f>'[6]143'!F25</f>
        <v>237900.3</v>
      </c>
      <c r="J34" s="28">
        <f>-'[6]143'!G26</f>
        <v>-13771.7</v>
      </c>
      <c r="K34" s="19">
        <f t="shared" si="1"/>
        <v>461806.11</v>
      </c>
      <c r="L34" s="18"/>
      <c r="M34" s="19">
        <f t="shared" si="2"/>
        <v>13771.700000000012</v>
      </c>
      <c r="N34" s="29" t="s">
        <v>23</v>
      </c>
      <c r="O34" s="62">
        <f>'[6]143'!G26</f>
        <v>13771.7</v>
      </c>
      <c r="P34" s="62"/>
      <c r="Q34" s="67">
        <f>P34+O34</f>
        <v>13771.7</v>
      </c>
      <c r="R34" s="62"/>
      <c r="S34" s="62"/>
      <c r="T34" s="30">
        <f t="shared" si="3"/>
        <v>0</v>
      </c>
      <c r="U34" s="30">
        <f t="shared" si="4"/>
        <v>0</v>
      </c>
      <c r="V34" s="30">
        <f t="shared" si="5"/>
        <v>13771.7</v>
      </c>
    </row>
    <row r="35" spans="1:22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5"/>
      <c r="O35" s="62"/>
      <c r="P35" s="62"/>
      <c r="Q35" s="67"/>
      <c r="R35" s="62"/>
      <c r="S35" s="62"/>
      <c r="T35" s="30">
        <f t="shared" si="3"/>
        <v>0</v>
      </c>
      <c r="U35" s="30">
        <f t="shared" si="4"/>
        <v>0</v>
      </c>
      <c r="V35" s="30">
        <f t="shared" si="5"/>
        <v>0</v>
      </c>
    </row>
    <row r="36" spans="1:22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5"/>
      <c r="O36" s="62"/>
      <c r="P36" s="62"/>
      <c r="Q36" s="67"/>
      <c r="R36" s="62"/>
      <c r="S36" s="62"/>
      <c r="T36" s="30">
        <f t="shared" si="3"/>
        <v>0</v>
      </c>
      <c r="U36" s="30">
        <f t="shared" si="4"/>
        <v>0</v>
      </c>
      <c r="V36" s="30">
        <f t="shared" si="5"/>
        <v>0</v>
      </c>
    </row>
    <row r="37" spans="1:22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5"/>
      <c r="O37" s="62"/>
      <c r="P37" s="62"/>
      <c r="Q37" s="67"/>
      <c r="R37" s="62"/>
      <c r="S37" s="62"/>
      <c r="T37" s="30">
        <f t="shared" si="3"/>
        <v>0</v>
      </c>
      <c r="U37" s="30">
        <f t="shared" si="4"/>
        <v>0</v>
      </c>
      <c r="V37" s="30">
        <f t="shared" si="5"/>
        <v>0</v>
      </c>
    </row>
    <row r="38" spans="1:22" x14ac:dyDescent="0.25">
      <c r="A38" s="103" t="s">
        <v>45</v>
      </c>
      <c r="B38" s="103"/>
      <c r="C38" s="26"/>
      <c r="D38" s="27"/>
      <c r="E38" s="27">
        <v>1804771.8800000001</v>
      </c>
      <c r="F38" s="17">
        <f t="shared" si="0"/>
        <v>1804771.8800000001</v>
      </c>
      <c r="G38" s="18"/>
      <c r="H38" s="28"/>
      <c r="I38" s="28"/>
      <c r="J38" s="28">
        <f>'[6]152'!G82+'[6]152'!G83</f>
        <v>5605402.6399999997</v>
      </c>
      <c r="K38" s="19">
        <f t="shared" si="1"/>
        <v>5605402.6399999997</v>
      </c>
      <c r="L38" s="18"/>
      <c r="M38" s="19">
        <f t="shared" si="2"/>
        <v>-3800630.76</v>
      </c>
      <c r="N38" s="29" t="s">
        <v>42</v>
      </c>
      <c r="O38" s="62"/>
      <c r="P38" s="62"/>
      <c r="Q38" s="67"/>
      <c r="R38" s="62">
        <f>-'[6]152'!G83</f>
        <v>-3800630.76</v>
      </c>
      <c r="S38" s="62"/>
      <c r="T38" s="30">
        <f t="shared" si="3"/>
        <v>0</v>
      </c>
      <c r="U38" s="30">
        <f t="shared" si="4"/>
        <v>0</v>
      </c>
      <c r="V38" s="30">
        <f t="shared" si="5"/>
        <v>-3800630.76</v>
      </c>
    </row>
    <row r="39" spans="1:22" x14ac:dyDescent="0.25">
      <c r="A39" s="103" t="s">
        <v>47</v>
      </c>
      <c r="B39" s="103"/>
      <c r="C39" s="26"/>
      <c r="D39" s="27"/>
      <c r="E39" s="27">
        <v>586655.4</v>
      </c>
      <c r="F39" s="17">
        <f t="shared" si="0"/>
        <v>586655.4</v>
      </c>
      <c r="G39" s="18"/>
      <c r="H39" s="28"/>
      <c r="I39" s="28"/>
      <c r="J39" s="28">
        <f>'[6]153'!F42</f>
        <v>586655.4</v>
      </c>
      <c r="K39" s="19">
        <f t="shared" si="1"/>
        <v>586655.4</v>
      </c>
      <c r="L39" s="18"/>
      <c r="M39" s="19">
        <f t="shared" si="2"/>
        <v>0</v>
      </c>
      <c r="N39" s="5"/>
      <c r="O39" s="62"/>
      <c r="P39" s="62"/>
      <c r="Q39" s="67"/>
      <c r="R39" s="62"/>
      <c r="S39" s="62"/>
      <c r="T39" s="30">
        <f t="shared" si="3"/>
        <v>0</v>
      </c>
      <c r="U39" s="30">
        <f t="shared" si="4"/>
        <v>0</v>
      </c>
      <c r="V39" s="30">
        <f t="shared" si="5"/>
        <v>0</v>
      </c>
    </row>
    <row r="40" spans="1:22" x14ac:dyDescent="0.25">
      <c r="A40" s="103" t="s">
        <v>48</v>
      </c>
      <c r="B40" s="103"/>
      <c r="C40" s="26">
        <v>35261747.630000003</v>
      </c>
      <c r="D40" s="27">
        <v>49232786.800000004</v>
      </c>
      <c r="E40" s="27">
        <v>2357305.3899999997</v>
      </c>
      <c r="F40" s="17">
        <f t="shared" si="0"/>
        <v>86851839.820000008</v>
      </c>
      <c r="G40" s="18"/>
      <c r="H40" s="28">
        <f>'[6]154'!G135</f>
        <v>35261747.629999995</v>
      </c>
      <c r="I40" s="28">
        <f>'[6]154'!G136</f>
        <v>49232786.799999997</v>
      </c>
      <c r="J40" s="28">
        <f>'[6]154'!G137+'[6]154'!G140-'[6]154'!H138-'[6]154'!H139</f>
        <v>1330270.4599999995</v>
      </c>
      <c r="K40" s="19">
        <f t="shared" si="1"/>
        <v>85824804.889999986</v>
      </c>
      <c r="L40" s="18"/>
      <c r="M40" s="19">
        <f t="shared" si="2"/>
        <v>1027034.9300000221</v>
      </c>
      <c r="N40" s="5" t="s">
        <v>84</v>
      </c>
      <c r="O40" s="62">
        <f>'[6]154'!H138</f>
        <v>1036027.0700000001</v>
      </c>
      <c r="P40" s="62">
        <f>'[6]154'!H139</f>
        <v>22129.86</v>
      </c>
      <c r="Q40" s="67">
        <f>P40+O40</f>
        <v>1058156.9300000002</v>
      </c>
      <c r="R40" s="62"/>
      <c r="S40" s="62">
        <f>-Q41</f>
        <v>-31122</v>
      </c>
      <c r="T40" s="30">
        <f t="shared" si="3"/>
        <v>0</v>
      </c>
      <c r="U40" s="30">
        <f t="shared" si="4"/>
        <v>0</v>
      </c>
      <c r="V40" s="30">
        <f t="shared" si="5"/>
        <v>1027034.9300000002</v>
      </c>
    </row>
    <row r="41" spans="1:22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5"/>
      <c r="O41" s="62"/>
      <c r="P41" s="62"/>
      <c r="Q41" s="67">
        <f>+'[6]154'!I147</f>
        <v>31122</v>
      </c>
      <c r="R41" s="62"/>
      <c r="S41" s="62"/>
      <c r="T41" s="30">
        <f t="shared" si="3"/>
        <v>0</v>
      </c>
      <c r="U41" s="30">
        <f t="shared" si="4"/>
        <v>0</v>
      </c>
      <c r="V41" s="30">
        <f t="shared" si="5"/>
        <v>0</v>
      </c>
    </row>
    <row r="42" spans="1:22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5"/>
      <c r="O42" s="62"/>
      <c r="P42" s="62"/>
      <c r="Q42" s="67">
        <f>Q40-Q41</f>
        <v>1027034.9300000002</v>
      </c>
      <c r="R42" s="62"/>
      <c r="S42" s="62">
        <f>Q40+S40</f>
        <v>1027034.9300000002</v>
      </c>
      <c r="T42" s="30">
        <f t="shared" si="3"/>
        <v>0</v>
      </c>
      <c r="U42" s="30">
        <f t="shared" si="4"/>
        <v>0</v>
      </c>
      <c r="V42" s="30">
        <f t="shared" si="5"/>
        <v>0</v>
      </c>
    </row>
    <row r="43" spans="1:22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5"/>
      <c r="O43" s="62"/>
      <c r="P43" s="62"/>
      <c r="Q43" s="67"/>
      <c r="R43" s="62"/>
      <c r="S43" s="62"/>
    </row>
    <row r="44" spans="1:22" x14ac:dyDescent="0.25">
      <c r="A44" s="103" t="s">
        <v>52</v>
      </c>
      <c r="B44" s="103"/>
      <c r="C44" s="37"/>
      <c r="D44" s="38"/>
      <c r="E44" s="38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5"/>
      <c r="O44" s="62"/>
      <c r="P44" s="62"/>
      <c r="Q44" s="67"/>
      <c r="R44" s="62"/>
      <c r="S44" s="62"/>
    </row>
    <row r="45" spans="1:22" x14ac:dyDescent="0.25">
      <c r="A45" s="102" t="s">
        <v>53</v>
      </c>
      <c r="B45" s="102"/>
      <c r="C45" s="37"/>
      <c r="D45" s="38"/>
      <c r="E45" s="38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62"/>
      <c r="O45" s="62">
        <f>SUM(O17:O41)</f>
        <v>2471984.9299999997</v>
      </c>
      <c r="P45" s="62">
        <f>SUM(P17:P41)</f>
        <v>33715.94</v>
      </c>
      <c r="Q45" s="67">
        <f>SUM(Q17:Q41)</f>
        <v>2536822.87</v>
      </c>
      <c r="R45" s="62">
        <f>SUM(R17:R41)</f>
        <v>-3800630.76</v>
      </c>
      <c r="S45" s="62">
        <f>SUM(S17:S41)</f>
        <v>-31122</v>
      </c>
    </row>
    <row r="46" spans="1:22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5"/>
      <c r="O46" s="62"/>
      <c r="P46" s="62"/>
      <c r="Q46" s="67"/>
      <c r="R46" s="62"/>
      <c r="S46" s="62"/>
    </row>
    <row r="47" spans="1:22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56"/>
      <c r="O47" s="66"/>
      <c r="P47" s="66"/>
      <c r="Q47" s="66"/>
      <c r="R47" s="66"/>
      <c r="S47" s="66">
        <f>-O45-P45-R45-S40</f>
        <v>1326051.8900000001</v>
      </c>
    </row>
    <row r="48" spans="1:22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  <c r="N48" s="56"/>
      <c r="O48" s="66"/>
      <c r="P48" s="66"/>
      <c r="Q48" s="66"/>
      <c r="R48" s="66"/>
      <c r="S48" s="66"/>
    </row>
    <row r="49" spans="1:19" s="30" customFormat="1" x14ac:dyDescent="0.25">
      <c r="A49" s="106" t="s">
        <v>56</v>
      </c>
      <c r="B49" s="106"/>
      <c r="C49" s="39">
        <f>SUM(C14:C48)</f>
        <v>85952411.610000014</v>
      </c>
      <c r="D49" s="40">
        <f>SUM(D14:D48)</f>
        <v>83671058</v>
      </c>
      <c r="E49" s="40">
        <f>SUM(E14:E48)</f>
        <v>5943861.7599999998</v>
      </c>
      <c r="F49" s="40">
        <f>SUM(F14:F48)</f>
        <v>175567331.37</v>
      </c>
      <c r="G49" s="18"/>
      <c r="H49" s="40">
        <f>SUM(H14:H48)</f>
        <v>85952411.609999985</v>
      </c>
      <c r="I49" s="40">
        <f>SUM(I14:I48)</f>
        <v>83671057.999999985</v>
      </c>
      <c r="J49" s="40">
        <f>SUM(J14:J48)</f>
        <v>7269913.6500000004</v>
      </c>
      <c r="K49" s="40">
        <f>SUM(K14:K48)</f>
        <v>176893383.25999999</v>
      </c>
      <c r="L49" s="18"/>
      <c r="M49" s="57">
        <f t="shared" si="2"/>
        <v>-1326051.8899999857</v>
      </c>
      <c r="N49" s="64">
        <f>M49-C53-C54-C55-C56</f>
        <v>1.437729224562645E-8</v>
      </c>
      <c r="O49" s="62"/>
      <c r="P49" s="62"/>
      <c r="Q49" s="62"/>
      <c r="R49" s="62"/>
      <c r="S49" s="62"/>
    </row>
    <row r="50" spans="1:19" s="30" customFormat="1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5"/>
      <c r="O50" s="62"/>
      <c r="P50" s="62"/>
      <c r="Q50" s="62"/>
      <c r="R50" s="62"/>
      <c r="S50" s="62"/>
    </row>
    <row r="51" spans="1:19" s="30" customFormat="1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L51" s="14"/>
      <c r="M51" s="14"/>
      <c r="N51" s="5"/>
      <c r="O51" s="62"/>
      <c r="P51" s="62"/>
      <c r="Q51" s="62"/>
      <c r="R51" s="62"/>
      <c r="S51" s="62"/>
    </row>
    <row r="52" spans="1:19" s="30" customFormat="1" ht="15.75" customHeight="1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5"/>
      <c r="O52" s="62"/>
      <c r="P52" s="62"/>
      <c r="Q52" s="62"/>
      <c r="R52" s="62"/>
      <c r="S52" s="62"/>
    </row>
    <row r="53" spans="1:19" s="30" customFormat="1" ht="15.75" customHeight="1" x14ac:dyDescent="0.25">
      <c r="A53" s="103" t="s">
        <v>83</v>
      </c>
      <c r="B53" s="103"/>
      <c r="C53" s="45">
        <f>O17+O24+O25+O27+O32+O33+O34+O40</f>
        <v>2471984.9299999997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5"/>
      <c r="O53" s="62"/>
      <c r="P53" s="62"/>
      <c r="Q53" s="62"/>
      <c r="R53" s="62"/>
      <c r="S53" s="62"/>
    </row>
    <row r="54" spans="1:19" s="30" customFormat="1" ht="15.75" customHeight="1" x14ac:dyDescent="0.25">
      <c r="A54" s="47" t="s">
        <v>78</v>
      </c>
      <c r="B54" s="46"/>
      <c r="C54" s="45">
        <f>R38</f>
        <v>-3800630.76</v>
      </c>
      <c r="D54" s="49"/>
      <c r="E54" s="49"/>
      <c r="F54" s="14"/>
      <c r="G54" s="14"/>
      <c r="H54" s="14"/>
      <c r="I54" s="14"/>
      <c r="J54" s="14"/>
      <c r="K54" s="14"/>
      <c r="L54" s="14"/>
      <c r="M54" s="18"/>
      <c r="N54" s="5"/>
      <c r="O54" s="62"/>
      <c r="P54" s="62"/>
      <c r="Q54" s="62"/>
      <c r="R54" s="62"/>
      <c r="S54" s="62"/>
    </row>
    <row r="55" spans="1:19" s="30" customFormat="1" ht="15.75" customHeight="1" x14ac:dyDescent="0.25">
      <c r="A55" s="102" t="s">
        <v>82</v>
      </c>
      <c r="B55" s="102"/>
      <c r="C55" s="45">
        <f>P17+P24+P25+P32+P33+P40</f>
        <v>33715.94</v>
      </c>
      <c r="D55" s="14"/>
      <c r="E55" s="14"/>
      <c r="F55" s="14"/>
      <c r="G55" s="14"/>
      <c r="H55" s="14"/>
      <c r="I55" s="14"/>
      <c r="J55" s="14"/>
      <c r="K55" s="14"/>
      <c r="L55" s="14"/>
      <c r="M55" s="18"/>
      <c r="N55" s="5"/>
      <c r="O55" s="62"/>
      <c r="P55" s="62"/>
      <c r="Q55" s="62"/>
      <c r="R55" s="62"/>
      <c r="S55" s="62"/>
    </row>
    <row r="56" spans="1:19" s="30" customFormat="1" ht="15.75" customHeight="1" x14ac:dyDescent="0.25">
      <c r="A56" s="102" t="s">
        <v>81</v>
      </c>
      <c r="B56" s="102"/>
      <c r="C56" s="45">
        <f>S40</f>
        <v>-31122</v>
      </c>
      <c r="D56" s="49"/>
      <c r="E56" s="49"/>
      <c r="F56" s="14"/>
      <c r="G56" s="14"/>
      <c r="H56" s="14"/>
      <c r="I56" s="14"/>
      <c r="J56" s="14"/>
      <c r="K56" s="14"/>
      <c r="L56" s="14"/>
      <c r="M56" s="18"/>
      <c r="N56" s="5"/>
      <c r="O56" s="62"/>
      <c r="P56" s="62"/>
      <c r="Q56" s="62"/>
      <c r="R56" s="62"/>
      <c r="S56" s="62"/>
    </row>
    <row r="57" spans="1:19" s="30" customFormat="1" ht="15.75" customHeight="1" x14ac:dyDescent="0.25">
      <c r="A57" s="50"/>
      <c r="B57" s="50"/>
      <c r="C57" s="58"/>
      <c r="D57" s="49"/>
      <c r="E57" s="14"/>
      <c r="F57" s="14"/>
      <c r="G57" s="14"/>
      <c r="H57" s="14"/>
      <c r="I57" s="14"/>
      <c r="J57" s="14"/>
      <c r="K57" s="14"/>
      <c r="L57" s="14"/>
      <c r="M57" s="18"/>
      <c r="N57" s="5"/>
      <c r="O57" s="62"/>
      <c r="P57" s="62"/>
      <c r="Q57" s="62"/>
      <c r="R57" s="62"/>
      <c r="S57" s="62"/>
    </row>
    <row r="58" spans="1:19" s="30" customFormat="1" ht="15.75" customHeight="1" x14ac:dyDescent="0.25">
      <c r="A58" s="50"/>
      <c r="B58" s="50"/>
      <c r="C58" s="58"/>
      <c r="D58" s="49"/>
      <c r="E58" s="14"/>
      <c r="F58" s="14"/>
      <c r="G58" s="14"/>
      <c r="H58" s="14"/>
      <c r="I58" s="14"/>
      <c r="J58" s="14"/>
      <c r="K58" s="14"/>
      <c r="L58" s="14"/>
      <c r="M58" s="18"/>
      <c r="N58" s="5"/>
      <c r="O58" s="62"/>
      <c r="P58" s="62"/>
      <c r="Q58" s="62"/>
      <c r="R58" s="62"/>
      <c r="S58" s="62"/>
    </row>
    <row r="59" spans="1:19" s="30" customFormat="1" x14ac:dyDescent="0.25">
      <c r="A59" s="50"/>
      <c r="B59" s="50"/>
      <c r="C59" s="43"/>
      <c r="D59" s="49"/>
      <c r="E59" s="14"/>
      <c r="F59" s="14"/>
      <c r="G59" s="14"/>
      <c r="H59" s="14"/>
      <c r="I59" s="14"/>
      <c r="J59" s="14"/>
      <c r="K59" s="14"/>
      <c r="L59" s="14"/>
      <c r="M59" s="18"/>
      <c r="N59" s="5"/>
      <c r="O59" s="62"/>
      <c r="P59" s="62"/>
      <c r="Q59" s="62"/>
      <c r="R59" s="62"/>
      <c r="S59" s="62"/>
    </row>
    <row r="60" spans="1:19" s="30" customFormat="1" x14ac:dyDescent="0.25">
      <c r="A60"/>
      <c r="B60" s="3"/>
      <c r="C60" s="4"/>
      <c r="D60" s="107"/>
      <c r="E60" s="107"/>
      <c r="F60" s="51"/>
      <c r="G60" s="3"/>
      <c r="H60" s="107"/>
      <c r="I60" s="107"/>
      <c r="J60" s="107"/>
      <c r="K60" s="3"/>
      <c r="L60" s="3"/>
      <c r="M60" s="32"/>
      <c r="N60" s="62"/>
      <c r="O60" s="62"/>
      <c r="P60" s="62"/>
      <c r="Q60" s="62"/>
      <c r="R60" s="62"/>
      <c r="S60" s="62"/>
    </row>
    <row r="61" spans="1:19" s="30" customFormat="1" ht="15.75" thickBot="1" x14ac:dyDescent="0.3">
      <c r="A61"/>
      <c r="B61" s="3"/>
      <c r="C61" s="4"/>
      <c r="D61" s="107"/>
      <c r="E61" s="107"/>
      <c r="F61" s="52"/>
      <c r="G61" s="3"/>
      <c r="H61" s="111"/>
      <c r="I61" s="111"/>
      <c r="J61" s="25"/>
      <c r="K61" s="112"/>
      <c r="L61" s="112"/>
      <c r="M61" s="112"/>
      <c r="N61" s="62"/>
      <c r="O61" s="62"/>
      <c r="P61" s="62"/>
      <c r="Q61" s="62"/>
      <c r="R61" s="62"/>
      <c r="S61" s="62"/>
    </row>
    <row r="62" spans="1:19" s="30" customFormat="1" x14ac:dyDescent="0.25">
      <c r="A62" s="53" t="s">
        <v>62</v>
      </c>
      <c r="B62" s="3"/>
      <c r="C62" s="113" t="s">
        <v>63</v>
      </c>
      <c r="D62" s="113"/>
      <c r="E62" s="52"/>
      <c r="F62" s="52"/>
      <c r="G62" s="3"/>
      <c r="H62" s="113" t="s">
        <v>62</v>
      </c>
      <c r="I62" s="113"/>
      <c r="J62" s="54"/>
      <c r="K62" s="113" t="s">
        <v>63</v>
      </c>
      <c r="L62" s="113"/>
      <c r="M62" s="113"/>
      <c r="N62" s="62"/>
      <c r="O62" s="62"/>
      <c r="P62" s="62"/>
      <c r="Q62" s="62"/>
      <c r="R62" s="62"/>
      <c r="S62" s="62"/>
    </row>
    <row r="63" spans="1:19" s="30" customFormat="1" x14ac:dyDescent="0.25">
      <c r="A63" s="55" t="s">
        <v>64</v>
      </c>
      <c r="B63" s="3"/>
      <c r="C63" s="108" t="s">
        <v>65</v>
      </c>
      <c r="D63" s="108"/>
      <c r="E63" s="4"/>
      <c r="F63" s="4"/>
      <c r="G63" s="3"/>
      <c r="H63" s="109" t="s">
        <v>66</v>
      </c>
      <c r="I63" s="109"/>
      <c r="J63" s="4"/>
      <c r="K63" s="109" t="s">
        <v>67</v>
      </c>
      <c r="L63" s="109"/>
      <c r="M63" s="109"/>
      <c r="N63" s="62"/>
      <c r="O63" s="62"/>
      <c r="P63" s="62"/>
      <c r="Q63" s="62"/>
      <c r="R63" s="62"/>
      <c r="S63" s="62"/>
    </row>
    <row r="64" spans="1:19" s="30" customFormat="1" x14ac:dyDescent="0.25">
      <c r="A64"/>
      <c r="B64" s="3"/>
      <c r="C64" s="4"/>
      <c r="D64" s="4"/>
      <c r="E64" s="4"/>
      <c r="F64" s="4"/>
      <c r="G64" s="3"/>
      <c r="H64" s="3"/>
      <c r="I64" s="3"/>
      <c r="J64" s="4"/>
      <c r="K64" s="3"/>
      <c r="L64" s="3"/>
      <c r="M64" s="32"/>
      <c r="N64" s="62"/>
      <c r="O64" s="62"/>
      <c r="P64" s="62"/>
      <c r="Q64" s="62"/>
      <c r="R64" s="62"/>
      <c r="S64" s="62"/>
    </row>
    <row r="65" spans="1:19" s="30" customFormat="1" x14ac:dyDescent="0.25">
      <c r="A65"/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62"/>
      <c r="O65" s="62"/>
      <c r="P65" s="62"/>
      <c r="Q65" s="62"/>
      <c r="R65" s="62"/>
      <c r="S65" s="62"/>
    </row>
    <row r="66" spans="1:19" s="30" customFormat="1" x14ac:dyDescent="0.25">
      <c r="A66"/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62"/>
      <c r="O66" s="62"/>
      <c r="P66" s="62"/>
      <c r="Q66" s="62"/>
      <c r="R66" s="62"/>
      <c r="S66" s="62"/>
    </row>
    <row r="67" spans="1:19" s="30" customFormat="1" ht="15" customHeight="1" x14ac:dyDescent="0.25">
      <c r="A67" s="110" t="s">
        <v>68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62"/>
      <c r="O67" s="62"/>
      <c r="P67" s="62"/>
      <c r="Q67" s="62"/>
      <c r="R67" s="62"/>
      <c r="S67" s="62"/>
    </row>
    <row r="68" spans="1:19" s="30" customFormat="1" x14ac:dyDescent="0.25">
      <c r="A68"/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62"/>
      <c r="O68" s="62"/>
      <c r="P68" s="62"/>
      <c r="Q68" s="62"/>
      <c r="R68" s="62"/>
      <c r="S68" s="62"/>
    </row>
    <row r="69" spans="1:19" s="30" customFormat="1" x14ac:dyDescent="0.25">
      <c r="A69"/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  <c r="N69" s="62"/>
      <c r="O69" s="62"/>
      <c r="P69" s="62"/>
      <c r="Q69" s="62"/>
      <c r="R69" s="62"/>
      <c r="S69" s="62"/>
    </row>
    <row r="70" spans="1:19" s="30" customFormat="1" x14ac:dyDescent="0.25">
      <c r="A70"/>
      <c r="B70" s="3"/>
      <c r="C70" s="4"/>
      <c r="D70" s="4"/>
      <c r="E70" s="4"/>
      <c r="F70" s="4"/>
      <c r="G70" s="3"/>
      <c r="H70" s="3"/>
      <c r="I70" s="3"/>
      <c r="J70" s="4"/>
      <c r="K70" s="3"/>
      <c r="L70" s="3"/>
      <c r="M70" s="32"/>
      <c r="N70" s="62"/>
      <c r="O70" s="62"/>
      <c r="P70" s="62"/>
      <c r="Q70" s="62"/>
      <c r="R70" s="62"/>
      <c r="S70" s="62"/>
    </row>
  </sheetData>
  <mergeCells count="59">
    <mergeCell ref="A67:M67"/>
    <mergeCell ref="D61:E61"/>
    <mergeCell ref="H61:I61"/>
    <mergeCell ref="K61:M61"/>
    <mergeCell ref="C62:D62"/>
    <mergeCell ref="H62:I62"/>
    <mergeCell ref="K62:M62"/>
    <mergeCell ref="D60:E60"/>
    <mergeCell ref="H60:J60"/>
    <mergeCell ref="C63:D63"/>
    <mergeCell ref="H63:I63"/>
    <mergeCell ref="K63:M63"/>
    <mergeCell ref="A48:B48"/>
    <mergeCell ref="A49:B49"/>
    <mergeCell ref="A53:B53"/>
    <mergeCell ref="A55:B55"/>
    <mergeCell ref="A56:B56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1070-6CD2-496B-972E-168A49447867}">
  <dimension ref="A1:Q67"/>
  <sheetViews>
    <sheetView zoomScale="90" zoomScaleNormal="90" workbookViewId="0">
      <selection activeCell="N50" sqref="N50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1.42578125" style="63"/>
    <col min="17" max="17" width="18.140625" customWidth="1"/>
  </cols>
  <sheetData>
    <row r="1" spans="1:14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</row>
    <row r="2" spans="1:14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</row>
    <row r="3" spans="1:14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"/>
    </row>
    <row r="4" spans="1:14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5"/>
    </row>
    <row r="5" spans="1:14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5"/>
    </row>
    <row r="6" spans="1:14" ht="15" customHeight="1" x14ac:dyDescent="0.25">
      <c r="A6" s="90" t="s">
        <v>80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5"/>
    </row>
    <row r="7" spans="1:14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5"/>
    </row>
    <row r="8" spans="1:14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5"/>
    </row>
    <row r="9" spans="1:14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5"/>
    </row>
    <row r="10" spans="1:14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</row>
    <row r="11" spans="1:14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</row>
    <row r="12" spans="1:14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</row>
    <row r="13" spans="1:14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5"/>
    </row>
    <row r="14" spans="1:14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8" si="1">SUM(H14:J14)</f>
        <v>0</v>
      </c>
      <c r="L14" s="18"/>
      <c r="M14" s="19">
        <f t="shared" ref="M14:M49" si="2">F14-K14</f>
        <v>0</v>
      </c>
      <c r="N14" s="5"/>
    </row>
    <row r="15" spans="1:14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5"/>
    </row>
    <row r="16" spans="1:14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56"/>
    </row>
    <row r="17" spans="1:17" x14ac:dyDescent="0.25">
      <c r="A17" s="103" t="s">
        <v>22</v>
      </c>
      <c r="B17" s="103"/>
      <c r="C17" s="26">
        <v>21205722.079999998</v>
      </c>
      <c r="D17" s="27">
        <v>21701377.540000003</v>
      </c>
      <c r="E17" s="27">
        <v>360781.13</v>
      </c>
      <c r="F17" s="17">
        <f t="shared" si="0"/>
        <v>43267880.750000007</v>
      </c>
      <c r="G17" s="18"/>
      <c r="H17" s="28">
        <f>'[7]113'!G149</f>
        <v>21205722.079999991</v>
      </c>
      <c r="I17" s="28">
        <f>'[7]113'!G150</f>
        <v>21701377.540000003</v>
      </c>
      <c r="J17" s="28">
        <f>'[7]113'!G151-'[7]113'!H152</f>
        <v>-417118.38999999984</v>
      </c>
      <c r="K17" s="19">
        <f t="shared" si="1"/>
        <v>42489981.229999989</v>
      </c>
      <c r="L17" s="18"/>
      <c r="M17" s="19">
        <f t="shared" si="2"/>
        <v>777899.52000001818</v>
      </c>
      <c r="N17" s="29" t="s">
        <v>23</v>
      </c>
      <c r="O17" s="30">
        <f t="shared" ref="O17:O47" si="3">C17-H17</f>
        <v>0</v>
      </c>
      <c r="P17" s="30">
        <f t="shared" ref="P17:P47" si="4">D17-I17</f>
        <v>0</v>
      </c>
      <c r="Q17" s="30">
        <f t="shared" ref="Q17:Q47" si="5">E17-J17</f>
        <v>777899.51999999979</v>
      </c>
    </row>
    <row r="18" spans="1:17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spans="1:17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5"/>
      <c r="O19" s="30">
        <f t="shared" si="3"/>
        <v>0</v>
      </c>
      <c r="P19" s="30">
        <f t="shared" si="4"/>
        <v>0</v>
      </c>
      <c r="Q19" s="30">
        <f t="shared" si="5"/>
        <v>0</v>
      </c>
    </row>
    <row r="20" spans="1:17" x14ac:dyDescent="0.25">
      <c r="A20" s="103" t="s">
        <v>26</v>
      </c>
      <c r="B20" s="103"/>
      <c r="C20" s="26">
        <v>5139503.32</v>
      </c>
      <c r="D20" s="27">
        <v>5413461.6600000001</v>
      </c>
      <c r="E20" s="27">
        <v>680</v>
      </c>
      <c r="F20" s="17">
        <f t="shared" si="0"/>
        <v>10553644.98</v>
      </c>
      <c r="G20" s="18"/>
      <c r="H20" s="28">
        <f>'[7]121'!F48</f>
        <v>5139503.32</v>
      </c>
      <c r="I20" s="28">
        <f>'[7]121'!F49</f>
        <v>5413461.6600000001</v>
      </c>
      <c r="J20" s="28">
        <f>'[7]121'!F50</f>
        <v>680</v>
      </c>
      <c r="K20" s="19">
        <f t="shared" si="1"/>
        <v>10553644.98</v>
      </c>
      <c r="L20" s="18"/>
      <c r="M20" s="19">
        <f t="shared" si="2"/>
        <v>0</v>
      </c>
      <c r="N20" s="62"/>
      <c r="O20" s="30">
        <f t="shared" si="3"/>
        <v>0</v>
      </c>
      <c r="P20" s="30">
        <f t="shared" si="4"/>
        <v>0</v>
      </c>
      <c r="Q20" s="30">
        <f t="shared" si="5"/>
        <v>0</v>
      </c>
    </row>
    <row r="21" spans="1:17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56"/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spans="1:17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spans="1:17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5"/>
      <c r="O23" s="30">
        <f t="shared" si="3"/>
        <v>0</v>
      </c>
      <c r="P23" s="30">
        <f t="shared" si="4"/>
        <v>0</v>
      </c>
      <c r="Q23" s="30">
        <f t="shared" si="5"/>
        <v>0</v>
      </c>
    </row>
    <row r="24" spans="1:17" x14ac:dyDescent="0.25">
      <c r="A24" s="103" t="s">
        <v>30</v>
      </c>
      <c r="B24" s="103"/>
      <c r="C24" s="26">
        <v>2780924.2800000003</v>
      </c>
      <c r="D24" s="27">
        <v>2770336.45</v>
      </c>
      <c r="E24" s="27"/>
      <c r="F24" s="17">
        <f t="shared" si="0"/>
        <v>5551260.7300000004</v>
      </c>
      <c r="G24" s="24"/>
      <c r="H24" s="28">
        <f>'[7]131'!G48</f>
        <v>2780924.2800000003</v>
      </c>
      <c r="I24" s="28">
        <f>'[7]131'!G49</f>
        <v>2770336.45</v>
      </c>
      <c r="J24" s="28">
        <f>-'[7]131'!H51</f>
        <v>-128407.43999999999</v>
      </c>
      <c r="K24" s="19">
        <f t="shared" si="1"/>
        <v>5422853.29</v>
      </c>
      <c r="L24" s="24"/>
      <c r="M24" s="19">
        <f t="shared" si="2"/>
        <v>128407.44000000041</v>
      </c>
      <c r="N24" s="29" t="s">
        <v>23</v>
      </c>
      <c r="O24" s="30">
        <f t="shared" si="3"/>
        <v>0</v>
      </c>
      <c r="P24" s="30">
        <f t="shared" si="4"/>
        <v>0</v>
      </c>
      <c r="Q24" s="30">
        <f t="shared" si="5"/>
        <v>128407.43999999999</v>
      </c>
    </row>
    <row r="25" spans="1:17" x14ac:dyDescent="0.25">
      <c r="A25" s="103" t="s">
        <v>31</v>
      </c>
      <c r="B25" s="103"/>
      <c r="C25" s="26"/>
      <c r="D25" s="27"/>
      <c r="E25" s="27">
        <v>166087.76999999999</v>
      </c>
      <c r="F25" s="17">
        <f t="shared" si="0"/>
        <v>166087.76999999999</v>
      </c>
      <c r="G25" s="18"/>
      <c r="H25" s="28"/>
      <c r="I25" s="28"/>
      <c r="J25" s="28">
        <f>'[7]132'!G86</f>
        <v>166087.76999999999</v>
      </c>
      <c r="K25" s="19">
        <f t="shared" si="1"/>
        <v>166087.76999999999</v>
      </c>
      <c r="L25" s="18"/>
      <c r="M25" s="19">
        <f t="shared" si="2"/>
        <v>0</v>
      </c>
      <c r="N25" s="5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spans="1:17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5"/>
      <c r="O26" s="30">
        <f t="shared" si="3"/>
        <v>0</v>
      </c>
      <c r="P26" s="30">
        <f t="shared" si="4"/>
        <v>0</v>
      </c>
      <c r="Q26" s="30">
        <f t="shared" si="5"/>
        <v>0</v>
      </c>
    </row>
    <row r="27" spans="1:17" x14ac:dyDescent="0.25">
      <c r="A27" s="103" t="s">
        <v>33</v>
      </c>
      <c r="B27" s="103"/>
      <c r="C27" s="26">
        <v>624737.27</v>
      </c>
      <c r="D27" s="27">
        <v>688789.95000000007</v>
      </c>
      <c r="E27" s="27"/>
      <c r="F27" s="17">
        <f t="shared" si="0"/>
        <v>1313527.2200000002</v>
      </c>
      <c r="G27" s="18"/>
      <c r="H27" s="28">
        <f>'[7]134'!G63-'[7]134'!H63</f>
        <v>624737.27</v>
      </c>
      <c r="I27" s="28">
        <f>'[7]134'!G64</f>
        <v>688789.95</v>
      </c>
      <c r="J27" s="28">
        <f>-'[7]134'!H66</f>
        <v>-6171.62</v>
      </c>
      <c r="K27" s="19">
        <f t="shared" si="1"/>
        <v>1307355.5999999999</v>
      </c>
      <c r="L27" s="18"/>
      <c r="M27" s="19">
        <f t="shared" si="2"/>
        <v>6171.6200000003446</v>
      </c>
      <c r="N27" s="29" t="s">
        <v>23</v>
      </c>
      <c r="O27" s="30">
        <f t="shared" si="3"/>
        <v>0</v>
      </c>
      <c r="P27" s="30">
        <f t="shared" si="4"/>
        <v>0</v>
      </c>
      <c r="Q27" s="30">
        <f t="shared" si="5"/>
        <v>6171.62</v>
      </c>
    </row>
    <row r="28" spans="1:17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spans="1:17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spans="1:17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spans="1:17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5"/>
      <c r="O31" s="30">
        <f t="shared" si="3"/>
        <v>0</v>
      </c>
      <c r="P31" s="30">
        <f t="shared" si="4"/>
        <v>0</v>
      </c>
      <c r="Q31" s="30">
        <f t="shared" si="5"/>
        <v>0</v>
      </c>
    </row>
    <row r="32" spans="1:17" x14ac:dyDescent="0.25">
      <c r="A32" s="33" t="s">
        <v>38</v>
      </c>
      <c r="B32" s="34"/>
      <c r="C32" s="26">
        <v>3304287.93</v>
      </c>
      <c r="D32" s="27">
        <v>3365592.37</v>
      </c>
      <c r="E32" s="27"/>
      <c r="F32" s="17">
        <f t="shared" si="0"/>
        <v>6669880.3000000007</v>
      </c>
      <c r="G32" s="18"/>
      <c r="H32" s="28">
        <f>'[7]141'!G39</f>
        <v>3304287.93</v>
      </c>
      <c r="I32" s="28">
        <f>'[7]141'!G40</f>
        <v>3365592.37</v>
      </c>
      <c r="J32" s="28">
        <f>-'[7]141'!H42</f>
        <v>-116106.91</v>
      </c>
      <c r="K32" s="19">
        <f t="shared" si="1"/>
        <v>6553773.3900000006</v>
      </c>
      <c r="L32" s="18"/>
      <c r="M32" s="19">
        <f t="shared" si="2"/>
        <v>116106.91000000015</v>
      </c>
      <c r="N32" s="29" t="s">
        <v>23</v>
      </c>
      <c r="O32" s="30">
        <f t="shared" si="3"/>
        <v>0</v>
      </c>
      <c r="P32" s="30">
        <f t="shared" si="4"/>
        <v>0</v>
      </c>
      <c r="Q32" s="30">
        <f t="shared" si="5"/>
        <v>116106.91</v>
      </c>
    </row>
    <row r="33" spans="1:17" x14ac:dyDescent="0.25">
      <c r="A33" s="33" t="s">
        <v>39</v>
      </c>
      <c r="B33" s="34"/>
      <c r="C33" s="26">
        <v>1090897.29</v>
      </c>
      <c r="D33" s="27">
        <v>1111136.98</v>
      </c>
      <c r="E33" s="27"/>
      <c r="F33" s="17">
        <f t="shared" si="0"/>
        <v>2202034.27</v>
      </c>
      <c r="G33" s="18"/>
      <c r="H33" s="28">
        <f>'[7]142'!F31</f>
        <v>1090897.29</v>
      </c>
      <c r="I33" s="28">
        <f>'[7]142'!F32</f>
        <v>1111136.98</v>
      </c>
      <c r="J33" s="28">
        <f>-'[7]142'!G34</f>
        <v>-37902.229999999996</v>
      </c>
      <c r="K33" s="19">
        <f t="shared" si="1"/>
        <v>2164132.04</v>
      </c>
      <c r="L33" s="18"/>
      <c r="M33" s="19">
        <f t="shared" si="2"/>
        <v>37902.229999999981</v>
      </c>
      <c r="N33" s="29" t="s">
        <v>23</v>
      </c>
      <c r="O33" s="30">
        <f t="shared" si="3"/>
        <v>0</v>
      </c>
      <c r="P33" s="30">
        <f t="shared" si="4"/>
        <v>0</v>
      </c>
      <c r="Q33" s="30">
        <f t="shared" si="5"/>
        <v>37902.229999999996</v>
      </c>
    </row>
    <row r="34" spans="1:17" x14ac:dyDescent="0.25">
      <c r="A34" s="35" t="s">
        <v>40</v>
      </c>
      <c r="B34" s="36"/>
      <c r="C34" s="26">
        <v>233366.94</v>
      </c>
      <c r="D34" s="27">
        <v>235352.17</v>
      </c>
      <c r="E34" s="27"/>
      <c r="F34" s="17">
        <f t="shared" si="0"/>
        <v>468719.11</v>
      </c>
      <c r="G34" s="18"/>
      <c r="H34" s="28">
        <f>'[7]143'!F25</f>
        <v>233366.94</v>
      </c>
      <c r="I34" s="28">
        <f>'[7]143'!F26</f>
        <v>235352.17</v>
      </c>
      <c r="J34" s="28">
        <f>-'[7]143'!G28</f>
        <v>-13771.7</v>
      </c>
      <c r="K34" s="19">
        <f t="shared" si="1"/>
        <v>454947.41</v>
      </c>
      <c r="L34" s="18"/>
      <c r="M34" s="19">
        <f t="shared" si="2"/>
        <v>13771.700000000012</v>
      </c>
      <c r="N34" s="29" t="s">
        <v>23</v>
      </c>
      <c r="O34" s="30">
        <f t="shared" si="3"/>
        <v>0</v>
      </c>
      <c r="P34" s="30">
        <f t="shared" si="4"/>
        <v>0</v>
      </c>
      <c r="Q34" s="30">
        <f t="shared" si="5"/>
        <v>13771.7</v>
      </c>
    </row>
    <row r="35" spans="1:17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5"/>
      <c r="O35" s="30">
        <f t="shared" si="3"/>
        <v>0</v>
      </c>
      <c r="P35" s="30">
        <f t="shared" si="4"/>
        <v>0</v>
      </c>
      <c r="Q35" s="30">
        <f t="shared" si="5"/>
        <v>0</v>
      </c>
    </row>
    <row r="36" spans="1:17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5"/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spans="1:17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5"/>
      <c r="O37" s="30">
        <f t="shared" si="3"/>
        <v>0</v>
      </c>
      <c r="P37" s="30">
        <f t="shared" si="4"/>
        <v>0</v>
      </c>
      <c r="Q37" s="30">
        <f t="shared" si="5"/>
        <v>0</v>
      </c>
    </row>
    <row r="38" spans="1:17" x14ac:dyDescent="0.25">
      <c r="A38" s="103" t="s">
        <v>45</v>
      </c>
      <c r="B38" s="103"/>
      <c r="C38" s="26"/>
      <c r="D38" s="27"/>
      <c r="E38" s="27">
        <v>1631113.43</v>
      </c>
      <c r="F38" s="17">
        <f t="shared" si="0"/>
        <v>1631113.43</v>
      </c>
      <c r="G38" s="18"/>
      <c r="H38" s="28"/>
      <c r="I38" s="28"/>
      <c r="J38" s="28">
        <f>'[7]152'!G99+'[7]152'!G100</f>
        <v>8010786.6600000001</v>
      </c>
      <c r="K38" s="19">
        <f t="shared" si="1"/>
        <v>8010786.6600000001</v>
      </c>
      <c r="L38" s="18"/>
      <c r="M38" s="19">
        <f t="shared" si="2"/>
        <v>-6379673.2300000004</v>
      </c>
      <c r="N38" s="29" t="s">
        <v>42</v>
      </c>
      <c r="O38" s="30">
        <f t="shared" si="3"/>
        <v>0</v>
      </c>
      <c r="P38" s="30">
        <f t="shared" si="4"/>
        <v>0</v>
      </c>
      <c r="Q38" s="30">
        <f t="shared" si="5"/>
        <v>-6379673.2300000004</v>
      </c>
    </row>
    <row r="39" spans="1:17" x14ac:dyDescent="0.25">
      <c r="A39" s="103" t="s">
        <v>47</v>
      </c>
      <c r="B39" s="103"/>
      <c r="C39" s="26"/>
      <c r="D39" s="27"/>
      <c r="E39" s="27">
        <v>484973.72</v>
      </c>
      <c r="F39" s="17">
        <f t="shared" si="0"/>
        <v>484973.72</v>
      </c>
      <c r="G39" s="18"/>
      <c r="H39" s="28"/>
      <c r="I39" s="28"/>
      <c r="J39" s="28">
        <f>'[7]153'!F38</f>
        <v>484973.71999999991</v>
      </c>
      <c r="K39" s="19">
        <f t="shared" si="1"/>
        <v>484973.71999999991</v>
      </c>
      <c r="L39" s="18"/>
      <c r="M39" s="19">
        <f t="shared" si="2"/>
        <v>0</v>
      </c>
      <c r="N39" s="5"/>
      <c r="O39" s="30">
        <f t="shared" si="3"/>
        <v>0</v>
      </c>
      <c r="P39" s="30">
        <f t="shared" si="4"/>
        <v>0</v>
      </c>
      <c r="Q39" s="30">
        <f t="shared" si="5"/>
        <v>0</v>
      </c>
    </row>
    <row r="40" spans="1:17" x14ac:dyDescent="0.25">
      <c r="A40" s="103" t="s">
        <v>48</v>
      </c>
      <c r="B40" s="103"/>
      <c r="C40" s="26">
        <v>34531553.850000009</v>
      </c>
      <c r="D40" s="27">
        <v>38002044.739999995</v>
      </c>
      <c r="E40" s="27"/>
      <c r="F40" s="17">
        <f t="shared" si="0"/>
        <v>72533598.590000004</v>
      </c>
      <c r="G40" s="18"/>
      <c r="H40" s="28">
        <f>'[7]154'!G86</f>
        <v>34531553.849999994</v>
      </c>
      <c r="I40" s="28">
        <f>'[7]154'!G87</f>
        <v>38002044.740000002</v>
      </c>
      <c r="J40" s="28">
        <f>'[7]154'!G89-'[7]154'!H88</f>
        <v>-764308.58000000007</v>
      </c>
      <c r="K40" s="19">
        <f t="shared" si="1"/>
        <v>71769290.010000005</v>
      </c>
      <c r="L40" s="18"/>
      <c r="M40" s="19">
        <f t="shared" si="2"/>
        <v>764308.57999999821</v>
      </c>
      <c r="N40" s="29" t="s">
        <v>79</v>
      </c>
      <c r="O40" s="30">
        <f t="shared" si="3"/>
        <v>0</v>
      </c>
      <c r="P40" s="30">
        <f t="shared" si="4"/>
        <v>0</v>
      </c>
      <c r="Q40" s="30">
        <f t="shared" si="5"/>
        <v>764308.58000000007</v>
      </c>
    </row>
    <row r="41" spans="1:17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5"/>
      <c r="O41" s="30">
        <f t="shared" si="3"/>
        <v>0</v>
      </c>
      <c r="P41" s="30">
        <f t="shared" si="4"/>
        <v>0</v>
      </c>
      <c r="Q41" s="30">
        <f t="shared" si="5"/>
        <v>0</v>
      </c>
    </row>
    <row r="42" spans="1:17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5"/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spans="1:17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5"/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spans="1:17" x14ac:dyDescent="0.25">
      <c r="A44" s="103" t="s">
        <v>52</v>
      </c>
      <c r="B44" s="103"/>
      <c r="C44" s="37"/>
      <c r="D44" s="38"/>
      <c r="E44" s="38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5"/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spans="1:17" x14ac:dyDescent="0.25">
      <c r="A45" s="102" t="s">
        <v>53</v>
      </c>
      <c r="B45" s="102"/>
      <c r="C45" s="37"/>
      <c r="D45" s="38"/>
      <c r="E45" s="38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5"/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spans="1:17" x14ac:dyDescent="0.25">
      <c r="A46" s="103" t="s">
        <v>54</v>
      </c>
      <c r="B46" s="103"/>
      <c r="C46" s="37"/>
      <c r="D46" s="38"/>
      <c r="E46" s="38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5"/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spans="1:17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56"/>
      <c r="O47" s="30">
        <f t="shared" si="3"/>
        <v>0</v>
      </c>
      <c r="P47" s="30">
        <f t="shared" si="4"/>
        <v>0</v>
      </c>
      <c r="Q47" s="30">
        <f t="shared" si="5"/>
        <v>0</v>
      </c>
    </row>
    <row r="48" spans="1:17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>
        <f t="shared" si="1"/>
        <v>0</v>
      </c>
      <c r="L48" s="24"/>
      <c r="M48" s="19">
        <f t="shared" si="2"/>
        <v>0</v>
      </c>
      <c r="N48" s="56"/>
    </row>
    <row r="49" spans="1:14" x14ac:dyDescent="0.25">
      <c r="A49" s="106" t="s">
        <v>56</v>
      </c>
      <c r="B49" s="106"/>
      <c r="C49" s="39">
        <f>SUM(C14:C48)</f>
        <v>68910992.960000008</v>
      </c>
      <c r="D49" s="40">
        <f>SUM(D14:D48)</f>
        <v>73288091.859999985</v>
      </c>
      <c r="E49" s="40">
        <f>SUM(E14:E48)</f>
        <v>2643636.0499999998</v>
      </c>
      <c r="F49" s="40">
        <f>SUM(F14:F48)</f>
        <v>144842720.87</v>
      </c>
      <c r="G49" s="18"/>
      <c r="H49" s="40">
        <f>SUM(H14:H48)</f>
        <v>68910992.959999979</v>
      </c>
      <c r="I49" s="40">
        <f>SUM(I14:I48)</f>
        <v>73288091.859999999</v>
      </c>
      <c r="J49" s="40">
        <f>SUM(J14:J48)</f>
        <v>7178741.2800000003</v>
      </c>
      <c r="K49" s="40">
        <f>SUM(K14:K48)</f>
        <v>149377826.09999999</v>
      </c>
      <c r="L49" s="18"/>
      <c r="M49" s="57">
        <f t="shared" si="2"/>
        <v>-4535105.2299999893</v>
      </c>
      <c r="N49" s="64">
        <f>M49-C53-C54-C55</f>
        <v>1.1175870895385742E-8</v>
      </c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5"/>
    </row>
    <row r="51" spans="1:14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30"/>
      <c r="L51" s="14"/>
      <c r="M51" s="14"/>
      <c r="N51" s="5"/>
    </row>
    <row r="52" spans="1:14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5"/>
    </row>
    <row r="53" spans="1:14" x14ac:dyDescent="0.25">
      <c r="A53" s="103" t="s">
        <v>59</v>
      </c>
      <c r="B53" s="103"/>
      <c r="C53" s="45">
        <f>'[7]113'!H152+'[7]131'!H51+'[7]134'!H66+'[7]141'!H42+'[7]142'!G34+'[7]143'!G28+'[7]154'!H88</f>
        <v>2073744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5"/>
    </row>
    <row r="54" spans="1:14" x14ac:dyDescent="0.25">
      <c r="A54" s="47" t="s">
        <v>78</v>
      </c>
      <c r="B54" s="46"/>
      <c r="C54" s="45">
        <f>-'[7]152'!G100</f>
        <v>-6379673.2300000004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5"/>
    </row>
    <row r="55" spans="1:14" x14ac:dyDescent="0.25">
      <c r="A55" s="47" t="s">
        <v>77</v>
      </c>
      <c r="B55" s="48"/>
      <c r="C55" s="45">
        <f>-'[7]154'!G89</f>
        <v>-229176</v>
      </c>
      <c r="D55" s="49"/>
      <c r="E55" s="14"/>
      <c r="F55" s="14"/>
      <c r="G55" s="14"/>
      <c r="H55" s="14"/>
      <c r="I55" s="14"/>
      <c r="J55" s="14"/>
      <c r="K55" s="14"/>
      <c r="L55" s="14"/>
      <c r="M55" s="18"/>
      <c r="N55" s="5"/>
    </row>
    <row r="56" spans="1:14" x14ac:dyDescent="0.25">
      <c r="A56" s="50"/>
      <c r="B56" s="50"/>
      <c r="C56" s="43"/>
      <c r="D56" s="49"/>
      <c r="E56" s="14"/>
      <c r="F56" s="14"/>
      <c r="G56" s="14"/>
      <c r="H56" s="14"/>
      <c r="I56" s="14"/>
      <c r="J56" s="14"/>
      <c r="K56" s="14"/>
      <c r="L56" s="14"/>
      <c r="M56" s="18"/>
      <c r="N56" s="5"/>
    </row>
    <row r="57" spans="1:14" x14ac:dyDescent="0.25">
      <c r="B57" s="3"/>
      <c r="C57" s="4"/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62"/>
    </row>
    <row r="58" spans="1:14" ht="15.75" thickBot="1" x14ac:dyDescent="0.3">
      <c r="B58" s="3"/>
      <c r="C58" s="4"/>
      <c r="D58" s="107"/>
      <c r="E58" s="107"/>
      <c r="F58" s="52"/>
      <c r="G58" s="3"/>
      <c r="H58" s="111"/>
      <c r="I58" s="111"/>
      <c r="J58" s="25"/>
      <c r="K58" s="112"/>
      <c r="L58" s="112"/>
      <c r="M58" s="112"/>
      <c r="N58" s="62"/>
    </row>
    <row r="59" spans="1:14" x14ac:dyDescent="0.25">
      <c r="A59" s="53" t="s">
        <v>62</v>
      </c>
      <c r="B59" s="3"/>
      <c r="C59" s="113" t="s">
        <v>63</v>
      </c>
      <c r="D59" s="113"/>
      <c r="E59" s="52"/>
      <c r="F59" s="52"/>
      <c r="G59" s="3"/>
      <c r="H59" s="113" t="s">
        <v>62</v>
      </c>
      <c r="I59" s="113"/>
      <c r="J59" s="54"/>
      <c r="K59" s="113" t="s">
        <v>63</v>
      </c>
      <c r="L59" s="113"/>
      <c r="M59" s="113"/>
      <c r="N59" s="62"/>
    </row>
    <row r="60" spans="1:14" x14ac:dyDescent="0.25">
      <c r="A60" s="55" t="s">
        <v>64</v>
      </c>
      <c r="B60" s="3"/>
      <c r="C60" s="108" t="s">
        <v>65</v>
      </c>
      <c r="D60" s="108"/>
      <c r="E60" s="4"/>
      <c r="F60" s="4"/>
      <c r="G60" s="3"/>
      <c r="H60" s="109" t="s">
        <v>66</v>
      </c>
      <c r="I60" s="109"/>
      <c r="J60" s="4"/>
      <c r="K60" s="109" t="s">
        <v>67</v>
      </c>
      <c r="L60" s="109"/>
      <c r="M60" s="109"/>
      <c r="N60" s="62"/>
    </row>
    <row r="61" spans="1:14" x14ac:dyDescent="0.25">
      <c r="B61" s="3"/>
      <c r="C61" s="4"/>
      <c r="D61" s="4"/>
      <c r="E61" s="4"/>
      <c r="F61" s="4"/>
      <c r="G61" s="3"/>
      <c r="H61" s="3"/>
      <c r="I61" s="3"/>
      <c r="J61" s="4"/>
      <c r="K61" s="3"/>
      <c r="L61" s="3"/>
      <c r="M61" s="32"/>
      <c r="N61" s="62"/>
    </row>
    <row r="62" spans="1:14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6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62"/>
    </row>
    <row r="64" spans="1:14" ht="15" customHeight="1" x14ac:dyDescent="0.25">
      <c r="A64" s="110" t="s">
        <v>68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62"/>
    </row>
    <row r="65" spans="2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62"/>
    </row>
    <row r="66" spans="2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62"/>
    </row>
    <row r="67" spans="2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62"/>
    </row>
  </sheetData>
  <mergeCells count="57">
    <mergeCell ref="D58:E58"/>
    <mergeCell ref="H58:I58"/>
    <mergeCell ref="A64:M64"/>
    <mergeCell ref="K58:M58"/>
    <mergeCell ref="C59:D59"/>
    <mergeCell ref="H59:I59"/>
    <mergeCell ref="K59:M59"/>
    <mergeCell ref="C60:D60"/>
    <mergeCell ref="H60:I60"/>
    <mergeCell ref="K60:M60"/>
    <mergeCell ref="A48:B48"/>
    <mergeCell ref="A49:B49"/>
    <mergeCell ref="A53:B53"/>
    <mergeCell ref="D57:E57"/>
    <mergeCell ref="H57:J57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74803149606299213" bottom="0.74803149606299213" header="0.31496062992125984" footer="0.31496062992125984"/>
  <pageSetup scale="5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EB96-9229-40E8-9B70-92BD6E1559F7}">
  <dimension ref="A1:Q69"/>
  <sheetViews>
    <sheetView zoomScale="85" zoomScaleNormal="85" workbookViewId="0">
      <selection activeCell="N50" sqref="N50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4" max="14" width="13.5703125" bestFit="1" customWidth="1"/>
    <col min="17" max="17" width="16.7109375" customWidth="1"/>
  </cols>
  <sheetData>
    <row r="1" spans="1:14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</row>
    <row r="2" spans="1:14" ht="26.25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</row>
    <row r="3" spans="1:14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14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</row>
    <row r="5" spans="1:14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</row>
    <row r="6" spans="1:14" ht="15" customHeight="1" x14ac:dyDescent="0.25">
      <c r="A6" s="90" t="s">
        <v>76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</row>
    <row r="7" spans="1:14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</row>
    <row r="8" spans="1:14" x14ac:dyDescent="0.25">
      <c r="B8" s="3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</row>
    <row r="9" spans="1:14" ht="15.75" customHeight="1" thickBot="1" x14ac:dyDescent="0.3">
      <c r="A9" s="91" t="s">
        <v>4</v>
      </c>
      <c r="B9" s="91"/>
      <c r="C9" s="4"/>
      <c r="D9" s="4"/>
      <c r="E9" s="4"/>
      <c r="F9" s="4"/>
      <c r="G9" s="3"/>
      <c r="H9" s="3"/>
      <c r="I9" s="3"/>
      <c r="J9" s="4"/>
      <c r="K9" s="3"/>
      <c r="L9" s="3"/>
      <c r="M9" s="3"/>
      <c r="N9" s="3"/>
    </row>
    <row r="10" spans="1:14" ht="15.75" customHeight="1" thickBot="1" x14ac:dyDescent="0.3">
      <c r="A10" s="91"/>
      <c r="B10" s="91"/>
      <c r="C10" s="92" t="s">
        <v>5</v>
      </c>
      <c r="D10" s="92"/>
      <c r="E10" s="92"/>
      <c r="F10" s="93"/>
      <c r="G10" s="5"/>
      <c r="H10" s="94" t="s">
        <v>6</v>
      </c>
      <c r="I10" s="95"/>
      <c r="J10" s="95"/>
      <c r="K10" s="96"/>
      <c r="L10" s="5"/>
      <c r="M10" s="6"/>
      <c r="N10" s="5"/>
    </row>
    <row r="11" spans="1:14" ht="15.75" thickBot="1" x14ac:dyDescent="0.3">
      <c r="A11" s="97" t="s">
        <v>7</v>
      </c>
      <c r="B11" s="97"/>
      <c r="C11" s="98" t="s">
        <v>8</v>
      </c>
      <c r="D11" s="92"/>
      <c r="E11" s="93"/>
      <c r="F11" s="7" t="s">
        <v>9</v>
      </c>
      <c r="G11" s="5"/>
      <c r="H11" s="99" t="s">
        <v>10</v>
      </c>
      <c r="I11" s="92"/>
      <c r="J11" s="93"/>
      <c r="K11" s="7" t="s">
        <v>11</v>
      </c>
      <c r="L11" s="5"/>
      <c r="M11" s="8" t="s">
        <v>12</v>
      </c>
      <c r="N11" s="5"/>
    </row>
    <row r="12" spans="1:14" ht="45.75" thickBot="1" x14ac:dyDescent="0.3">
      <c r="A12" s="91" t="s">
        <v>13</v>
      </c>
      <c r="B12" s="91"/>
      <c r="C12" s="9" t="s">
        <v>14</v>
      </c>
      <c r="D12" s="10" t="s">
        <v>15</v>
      </c>
      <c r="E12" s="10" t="s">
        <v>16</v>
      </c>
      <c r="F12" s="10" t="s">
        <v>17</v>
      </c>
      <c r="G12" s="11"/>
      <c r="H12" s="12" t="s">
        <v>14</v>
      </c>
      <c r="I12" s="10" t="s">
        <v>15</v>
      </c>
      <c r="J12" s="10" t="s">
        <v>16</v>
      </c>
      <c r="K12" s="10" t="s">
        <v>17</v>
      </c>
      <c r="L12" s="11"/>
      <c r="M12" s="8" t="s">
        <v>18</v>
      </c>
      <c r="N12" s="5"/>
    </row>
    <row r="13" spans="1:14" x14ac:dyDescent="0.25">
      <c r="A13" s="100"/>
      <c r="B13" s="101"/>
      <c r="C13" s="13"/>
      <c r="D13" s="13"/>
      <c r="E13" s="13"/>
      <c r="F13" s="13"/>
      <c r="G13" s="14"/>
      <c r="H13" s="14"/>
      <c r="I13" s="14"/>
      <c r="J13" s="13"/>
      <c r="K13" s="14"/>
      <c r="L13" s="14"/>
      <c r="M13" s="14"/>
      <c r="N13" s="3"/>
    </row>
    <row r="14" spans="1:14" x14ac:dyDescent="0.25">
      <c r="A14" s="102" t="s">
        <v>19</v>
      </c>
      <c r="B14" s="102"/>
      <c r="C14" s="16"/>
      <c r="D14" s="17"/>
      <c r="E14" s="16"/>
      <c r="F14" s="17">
        <f t="shared" ref="F14:F47" si="0">SUM(C14:E14)</f>
        <v>0</v>
      </c>
      <c r="G14" s="18"/>
      <c r="H14" s="17"/>
      <c r="I14" s="17"/>
      <c r="J14" s="17"/>
      <c r="K14" s="19">
        <f t="shared" ref="K14:K47" si="1">SUM(H14:J14)</f>
        <v>0</v>
      </c>
      <c r="L14" s="18"/>
      <c r="M14" s="19">
        <f t="shared" ref="M14:M47" si="2">F14-K14</f>
        <v>0</v>
      </c>
      <c r="N14" s="3"/>
    </row>
    <row r="15" spans="1:14" x14ac:dyDescent="0.25">
      <c r="A15" s="103" t="s">
        <v>20</v>
      </c>
      <c r="B15" s="103"/>
      <c r="C15" s="21"/>
      <c r="D15" s="19"/>
      <c r="E15" s="21"/>
      <c r="F15" s="17">
        <f t="shared" si="0"/>
        <v>0</v>
      </c>
      <c r="G15" s="18"/>
      <c r="H15" s="19"/>
      <c r="I15" s="19"/>
      <c r="J15" s="19"/>
      <c r="K15" s="19">
        <f t="shared" si="1"/>
        <v>0</v>
      </c>
      <c r="L15" s="18"/>
      <c r="M15" s="19">
        <f t="shared" si="2"/>
        <v>0</v>
      </c>
      <c r="N15" s="3"/>
    </row>
    <row r="16" spans="1:14" x14ac:dyDescent="0.25">
      <c r="A16" s="103" t="s">
        <v>21</v>
      </c>
      <c r="B16" s="103"/>
      <c r="C16" s="22"/>
      <c r="D16" s="23"/>
      <c r="E16" s="22"/>
      <c r="F16" s="17">
        <f t="shared" si="0"/>
        <v>0</v>
      </c>
      <c r="G16" s="24"/>
      <c r="H16" s="23"/>
      <c r="I16" s="23"/>
      <c r="J16" s="23"/>
      <c r="K16" s="19">
        <f t="shared" si="1"/>
        <v>0</v>
      </c>
      <c r="L16" s="24"/>
      <c r="M16" s="19">
        <f t="shared" si="2"/>
        <v>0</v>
      </c>
      <c r="N16" s="25"/>
    </row>
    <row r="17" spans="1:17" x14ac:dyDescent="0.25">
      <c r="A17" s="103" t="s">
        <v>22</v>
      </c>
      <c r="B17" s="103"/>
      <c r="C17" s="26">
        <v>21178653.869999997</v>
      </c>
      <c r="D17" s="27">
        <v>21186296.590000004</v>
      </c>
      <c r="E17" s="27">
        <v>19250.52</v>
      </c>
      <c r="F17" s="17">
        <f t="shared" si="0"/>
        <v>42384200.980000004</v>
      </c>
      <c r="G17" s="18"/>
      <c r="H17" s="28">
        <f>'[8]113'!G145</f>
        <v>21178653.870000001</v>
      </c>
      <c r="I17" s="28">
        <f>'[8]113'!G146</f>
        <v>21186296.589999996</v>
      </c>
      <c r="J17" s="28">
        <f>'[8]113'!G147-'[8]113'!H148</f>
        <v>-773122.23999999987</v>
      </c>
      <c r="K17" s="19">
        <f t="shared" si="1"/>
        <v>41591828.219999991</v>
      </c>
      <c r="L17" s="18"/>
      <c r="M17" s="19">
        <f t="shared" si="2"/>
        <v>792372.76000001281</v>
      </c>
      <c r="N17" s="29" t="s">
        <v>23</v>
      </c>
      <c r="O17" s="30">
        <f t="shared" ref="O17:O47" si="3">C17-H17</f>
        <v>0</v>
      </c>
      <c r="P17" s="30">
        <f t="shared" ref="P17:P47" si="4">D17-I17</f>
        <v>0</v>
      </c>
      <c r="Q17" s="30">
        <f t="shared" ref="Q17:Q47" si="5">E17-J17</f>
        <v>792372.75999999989</v>
      </c>
    </row>
    <row r="18" spans="1:17" x14ac:dyDescent="0.25">
      <c r="A18" s="103" t="s">
        <v>24</v>
      </c>
      <c r="B18" s="103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3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spans="1:17" x14ac:dyDescent="0.25">
      <c r="A19" s="102" t="s">
        <v>25</v>
      </c>
      <c r="B19" s="102"/>
      <c r="C19" s="26"/>
      <c r="D19" s="27"/>
      <c r="E19" s="27"/>
      <c r="F19" s="17">
        <f t="shared" si="0"/>
        <v>0</v>
      </c>
      <c r="G19" s="18"/>
      <c r="H19" s="28"/>
      <c r="I19" s="28"/>
      <c r="J19" s="28"/>
      <c r="K19" s="19">
        <f t="shared" si="1"/>
        <v>0</v>
      </c>
      <c r="L19" s="18"/>
      <c r="M19" s="19">
        <f t="shared" si="2"/>
        <v>0</v>
      </c>
      <c r="N19" s="3"/>
      <c r="O19" s="30">
        <f t="shared" si="3"/>
        <v>0</v>
      </c>
      <c r="P19" s="30">
        <f t="shared" si="4"/>
        <v>0</v>
      </c>
      <c r="Q19" s="30">
        <f t="shared" si="5"/>
        <v>0</v>
      </c>
    </row>
    <row r="20" spans="1:17" x14ac:dyDescent="0.25">
      <c r="A20" s="103" t="s">
        <v>26</v>
      </c>
      <c r="B20" s="103"/>
      <c r="C20" s="26">
        <v>4978120</v>
      </c>
      <c r="D20" s="27">
        <v>5270015.83</v>
      </c>
      <c r="E20" s="27"/>
      <c r="F20" s="17">
        <f t="shared" si="0"/>
        <v>10248135.83</v>
      </c>
      <c r="G20" s="18"/>
      <c r="H20" s="28">
        <f>'[8]121'!G57</f>
        <v>4978120</v>
      </c>
      <c r="I20" s="28">
        <f>'[8]121'!G58</f>
        <v>5270015.83</v>
      </c>
      <c r="J20" s="28">
        <f>-'[8]121'!H59</f>
        <v>-128315</v>
      </c>
      <c r="K20" s="19">
        <f t="shared" si="1"/>
        <v>10119820.83</v>
      </c>
      <c r="L20" s="18"/>
      <c r="M20" s="19">
        <f t="shared" si="2"/>
        <v>128315</v>
      </c>
      <c r="N20" s="29" t="s">
        <v>23</v>
      </c>
      <c r="O20" s="30">
        <f t="shared" si="3"/>
        <v>0</v>
      </c>
      <c r="P20" s="30">
        <f t="shared" si="4"/>
        <v>0</v>
      </c>
      <c r="Q20" s="30">
        <f t="shared" si="5"/>
        <v>128315</v>
      </c>
    </row>
    <row r="21" spans="1:17" x14ac:dyDescent="0.25">
      <c r="A21" s="103" t="s">
        <v>27</v>
      </c>
      <c r="B21" s="103"/>
      <c r="C21" s="26"/>
      <c r="D21" s="27"/>
      <c r="E21" s="27"/>
      <c r="F21" s="17">
        <f t="shared" si="0"/>
        <v>0</v>
      </c>
      <c r="G21" s="24"/>
      <c r="H21" s="28"/>
      <c r="I21" s="28"/>
      <c r="J21" s="28"/>
      <c r="K21" s="19">
        <f t="shared" si="1"/>
        <v>0</v>
      </c>
      <c r="L21" s="24"/>
      <c r="M21" s="19">
        <f t="shared" si="2"/>
        <v>0</v>
      </c>
      <c r="N21" s="25"/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spans="1:17" x14ac:dyDescent="0.25">
      <c r="A22" s="103" t="s">
        <v>28</v>
      </c>
      <c r="B22" s="103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3"/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spans="1:17" x14ac:dyDescent="0.25">
      <c r="A23" s="102" t="s">
        <v>29</v>
      </c>
      <c r="B23" s="102"/>
      <c r="C23" s="26"/>
      <c r="D23" s="27"/>
      <c r="E23" s="27"/>
      <c r="F23" s="17">
        <f t="shared" si="0"/>
        <v>0</v>
      </c>
      <c r="G23" s="18"/>
      <c r="H23" s="28"/>
      <c r="I23" s="28"/>
      <c r="J23" s="28"/>
      <c r="K23" s="19">
        <f t="shared" si="1"/>
        <v>0</v>
      </c>
      <c r="L23" s="18"/>
      <c r="M23" s="19">
        <f t="shared" si="2"/>
        <v>0</v>
      </c>
      <c r="N23" s="3"/>
      <c r="O23" s="30">
        <f t="shared" si="3"/>
        <v>0</v>
      </c>
      <c r="P23" s="30">
        <f t="shared" si="4"/>
        <v>0</v>
      </c>
      <c r="Q23" s="30">
        <f t="shared" si="5"/>
        <v>0</v>
      </c>
    </row>
    <row r="24" spans="1:17" x14ac:dyDescent="0.25">
      <c r="A24" s="103" t="s">
        <v>30</v>
      </c>
      <c r="B24" s="103"/>
      <c r="C24" s="26">
        <v>2768896.82</v>
      </c>
      <c r="D24" s="27">
        <v>2769012.9699999997</v>
      </c>
      <c r="E24" s="27"/>
      <c r="F24" s="17">
        <f t="shared" si="0"/>
        <v>5537909.7899999991</v>
      </c>
      <c r="G24" s="24"/>
      <c r="H24" s="28">
        <f>'[8]131'!G49</f>
        <v>2768896.82</v>
      </c>
      <c r="I24" s="28">
        <f>'[8]131'!G50</f>
        <v>2769012.97</v>
      </c>
      <c r="J24" s="28">
        <f>-'[8]131'!H51</f>
        <v>-127576.92000000001</v>
      </c>
      <c r="K24" s="19">
        <f t="shared" si="1"/>
        <v>5410332.8700000001</v>
      </c>
      <c r="L24" s="24"/>
      <c r="M24" s="19">
        <f t="shared" si="2"/>
        <v>127576.91999999899</v>
      </c>
      <c r="N24" s="29" t="s">
        <v>23</v>
      </c>
      <c r="O24" s="30">
        <f t="shared" si="3"/>
        <v>0</v>
      </c>
      <c r="P24" s="30">
        <f t="shared" si="4"/>
        <v>0</v>
      </c>
      <c r="Q24" s="30">
        <f t="shared" si="5"/>
        <v>127576.92000000001</v>
      </c>
    </row>
    <row r="25" spans="1:17" x14ac:dyDescent="0.25">
      <c r="A25" s="103" t="s">
        <v>31</v>
      </c>
      <c r="B25" s="103"/>
      <c r="C25" s="26"/>
      <c r="D25" s="27"/>
      <c r="E25" s="27">
        <v>29655.9</v>
      </c>
      <c r="F25" s="17">
        <f t="shared" si="0"/>
        <v>29655.9</v>
      </c>
      <c r="G25" s="18"/>
      <c r="H25" s="28"/>
      <c r="I25" s="28"/>
      <c r="J25" s="28">
        <f>'[8]132'!G66</f>
        <v>29655.899999999998</v>
      </c>
      <c r="K25" s="19">
        <f t="shared" si="1"/>
        <v>29655.899999999998</v>
      </c>
      <c r="L25" s="18"/>
      <c r="M25" s="19">
        <f t="shared" si="2"/>
        <v>0</v>
      </c>
      <c r="N25" s="32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spans="1:17" x14ac:dyDescent="0.25">
      <c r="A26" s="103" t="s">
        <v>32</v>
      </c>
      <c r="B26" s="103"/>
      <c r="C26" s="26"/>
      <c r="D26" s="27"/>
      <c r="E26" s="27"/>
      <c r="F26" s="17">
        <f t="shared" si="0"/>
        <v>0</v>
      </c>
      <c r="G26" s="18"/>
      <c r="H26" s="28"/>
      <c r="I26" s="28"/>
      <c r="J26" s="28"/>
      <c r="K26" s="19">
        <f t="shared" si="1"/>
        <v>0</v>
      </c>
      <c r="L26" s="18"/>
      <c r="M26" s="19">
        <f t="shared" si="2"/>
        <v>0</v>
      </c>
      <c r="N26" s="3"/>
      <c r="O26" s="30">
        <f t="shared" si="3"/>
        <v>0</v>
      </c>
      <c r="P26" s="30">
        <f t="shared" si="4"/>
        <v>0</v>
      </c>
      <c r="Q26" s="30">
        <f t="shared" si="5"/>
        <v>0</v>
      </c>
    </row>
    <row r="27" spans="1:17" x14ac:dyDescent="0.25">
      <c r="A27" s="103" t="s">
        <v>33</v>
      </c>
      <c r="B27" s="103"/>
      <c r="C27" s="26">
        <v>588924.39999999991</v>
      </c>
      <c r="D27" s="27">
        <v>569141.89</v>
      </c>
      <c r="E27" s="27"/>
      <c r="F27" s="17">
        <f t="shared" si="0"/>
        <v>1158066.29</v>
      </c>
      <c r="G27" s="18"/>
      <c r="H27" s="28">
        <f>'[8]134'!G52-'[8]134'!H52</f>
        <v>588924.39999999991</v>
      </c>
      <c r="I27" s="28">
        <f>'[8]134'!G53-'[8]134'!H53</f>
        <v>569141.89</v>
      </c>
      <c r="J27" s="28">
        <f>-'[8]134'!H54</f>
        <v>-12343.24</v>
      </c>
      <c r="K27" s="19">
        <f t="shared" si="1"/>
        <v>1145723.05</v>
      </c>
      <c r="L27" s="18"/>
      <c r="M27" s="19">
        <f t="shared" si="2"/>
        <v>12343.239999999991</v>
      </c>
      <c r="N27" s="29" t="s">
        <v>23</v>
      </c>
      <c r="O27" s="30">
        <f t="shared" si="3"/>
        <v>0</v>
      </c>
      <c r="P27" s="30">
        <f t="shared" si="4"/>
        <v>0</v>
      </c>
      <c r="Q27" s="30">
        <f t="shared" si="5"/>
        <v>12343.24</v>
      </c>
    </row>
    <row r="28" spans="1:17" x14ac:dyDescent="0.25">
      <c r="A28" s="103" t="s">
        <v>34</v>
      </c>
      <c r="B28" s="103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3"/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spans="1:17" x14ac:dyDescent="0.25">
      <c r="A29" s="104" t="s">
        <v>35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3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spans="1:17" x14ac:dyDescent="0.25">
      <c r="A30" s="104" t="s">
        <v>36</v>
      </c>
      <c r="B30" s="104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3"/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spans="1:17" x14ac:dyDescent="0.25">
      <c r="A31" s="102" t="s">
        <v>71</v>
      </c>
      <c r="B31" s="102"/>
      <c r="C31" s="26"/>
      <c r="D31" s="27"/>
      <c r="E31" s="27"/>
      <c r="F31" s="17">
        <f t="shared" si="0"/>
        <v>0</v>
      </c>
      <c r="G31" s="18"/>
      <c r="H31" s="28"/>
      <c r="I31" s="28"/>
      <c r="J31" s="28"/>
      <c r="K31" s="19">
        <f t="shared" si="1"/>
        <v>0</v>
      </c>
      <c r="L31" s="18"/>
      <c r="M31" s="19">
        <f t="shared" si="2"/>
        <v>0</v>
      </c>
      <c r="N31" s="3"/>
      <c r="O31" s="30">
        <f t="shared" si="3"/>
        <v>0</v>
      </c>
      <c r="P31" s="30">
        <f t="shared" si="4"/>
        <v>0</v>
      </c>
      <c r="Q31" s="30">
        <f t="shared" si="5"/>
        <v>0</v>
      </c>
    </row>
    <row r="32" spans="1:17" x14ac:dyDescent="0.25">
      <c r="A32" s="33" t="s">
        <v>38</v>
      </c>
      <c r="B32" s="34"/>
      <c r="C32" s="26">
        <v>3296275.29</v>
      </c>
      <c r="D32" s="27">
        <v>3295116.0300000003</v>
      </c>
      <c r="E32" s="27">
        <v>6077743.5</v>
      </c>
      <c r="F32" s="17">
        <f t="shared" si="0"/>
        <v>12669134.82</v>
      </c>
      <c r="G32" s="18"/>
      <c r="H32" s="28">
        <f>'[8]141'!G42</f>
        <v>3296275.29</v>
      </c>
      <c r="I32" s="28">
        <f>'[8]141'!G43</f>
        <v>3295116.0300000003</v>
      </c>
      <c r="J32" s="28">
        <f>'[8]141'!G44-'[8]141'!H45</f>
        <v>5955869.2599999998</v>
      </c>
      <c r="K32" s="19">
        <f t="shared" si="1"/>
        <v>12547260.58</v>
      </c>
      <c r="L32" s="18"/>
      <c r="M32" s="19">
        <f t="shared" si="2"/>
        <v>121874.24000000022</v>
      </c>
      <c r="N32" s="29" t="s">
        <v>23</v>
      </c>
      <c r="O32" s="30">
        <f t="shared" si="3"/>
        <v>0</v>
      </c>
      <c r="P32" s="30">
        <f t="shared" si="4"/>
        <v>0</v>
      </c>
      <c r="Q32" s="30">
        <f t="shared" si="5"/>
        <v>121874.24000000022</v>
      </c>
    </row>
    <row r="33" spans="1:17" x14ac:dyDescent="0.25">
      <c r="A33" s="33" t="s">
        <v>39</v>
      </c>
      <c r="B33" s="34"/>
      <c r="C33" s="26">
        <v>1088251.97</v>
      </c>
      <c r="D33" s="27">
        <v>1087869.28</v>
      </c>
      <c r="E33" s="27"/>
      <c r="F33" s="17">
        <f t="shared" si="0"/>
        <v>2176121.25</v>
      </c>
      <c r="G33" s="18"/>
      <c r="H33" s="28">
        <f>'[8]142'!F31</f>
        <v>1088251.97</v>
      </c>
      <c r="I33" s="28">
        <f>'[8]142'!F32</f>
        <v>1087869.28</v>
      </c>
      <c r="J33" s="28">
        <f>-'[8]142'!G34</f>
        <v>-40235.949999999997</v>
      </c>
      <c r="K33" s="19">
        <f t="shared" si="1"/>
        <v>2135885.2999999998</v>
      </c>
      <c r="L33" s="18"/>
      <c r="M33" s="19">
        <f t="shared" si="2"/>
        <v>40235.950000000186</v>
      </c>
      <c r="N33" s="29" t="s">
        <v>23</v>
      </c>
      <c r="O33" s="30">
        <f t="shared" si="3"/>
        <v>0</v>
      </c>
      <c r="P33" s="30">
        <f t="shared" si="4"/>
        <v>0</v>
      </c>
      <c r="Q33" s="30">
        <f t="shared" si="5"/>
        <v>40235.949999999997</v>
      </c>
    </row>
    <row r="34" spans="1:17" x14ac:dyDescent="0.25">
      <c r="A34" s="35" t="s">
        <v>40</v>
      </c>
      <c r="B34" s="36"/>
      <c r="C34" s="26">
        <v>229835.91</v>
      </c>
      <c r="D34" s="27">
        <v>231473.03</v>
      </c>
      <c r="E34" s="27"/>
      <c r="F34" s="17">
        <f t="shared" si="0"/>
        <v>461308.94</v>
      </c>
      <c r="G34" s="18"/>
      <c r="H34" s="28">
        <f>'[8]143'!F26</f>
        <v>229835.91</v>
      </c>
      <c r="I34" s="28">
        <f>'[8]143'!F27</f>
        <v>231473.03</v>
      </c>
      <c r="J34" s="28">
        <f>-'[8]143'!G29</f>
        <v>-13528.99</v>
      </c>
      <c r="K34" s="19">
        <f t="shared" si="1"/>
        <v>447779.95</v>
      </c>
      <c r="L34" s="18"/>
      <c r="M34" s="19">
        <f t="shared" si="2"/>
        <v>13528.989999999991</v>
      </c>
      <c r="N34" s="29" t="s">
        <v>23</v>
      </c>
      <c r="O34" s="30">
        <f t="shared" si="3"/>
        <v>0</v>
      </c>
      <c r="P34" s="30">
        <f t="shared" si="4"/>
        <v>0</v>
      </c>
      <c r="Q34" s="30">
        <f t="shared" si="5"/>
        <v>13528.99</v>
      </c>
    </row>
    <row r="35" spans="1:17" x14ac:dyDescent="0.25">
      <c r="A35" s="35" t="s">
        <v>41</v>
      </c>
      <c r="B35" s="36"/>
      <c r="C35" s="26"/>
      <c r="D35" s="27"/>
      <c r="E35" s="27"/>
      <c r="F35" s="17">
        <f t="shared" si="0"/>
        <v>0</v>
      </c>
      <c r="G35" s="18"/>
      <c r="H35" s="28"/>
      <c r="I35" s="28"/>
      <c r="J35" s="28">
        <f>'[8]144'!F27</f>
        <v>453370.48</v>
      </c>
      <c r="K35" s="19">
        <f t="shared" si="1"/>
        <v>453370.48</v>
      </c>
      <c r="L35" s="18"/>
      <c r="M35" s="19">
        <f t="shared" si="2"/>
        <v>-453370.48</v>
      </c>
      <c r="N35" s="29" t="s">
        <v>42</v>
      </c>
      <c r="O35" s="30">
        <f t="shared" si="3"/>
        <v>0</v>
      </c>
      <c r="P35" s="30">
        <f t="shared" si="4"/>
        <v>0</v>
      </c>
      <c r="Q35" s="30">
        <f t="shared" si="5"/>
        <v>-453370.48</v>
      </c>
    </row>
    <row r="36" spans="1:17" x14ac:dyDescent="0.25">
      <c r="A36" s="102" t="s">
        <v>43</v>
      </c>
      <c r="B36" s="102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3"/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spans="1:17" x14ac:dyDescent="0.25">
      <c r="A37" s="103" t="s">
        <v>44</v>
      </c>
      <c r="B37" s="103"/>
      <c r="C37" s="26"/>
      <c r="D37" s="27"/>
      <c r="E37" s="27"/>
      <c r="F37" s="17">
        <f t="shared" si="0"/>
        <v>0</v>
      </c>
      <c r="G37" s="18"/>
      <c r="H37" s="28"/>
      <c r="I37" s="28"/>
      <c r="J37" s="28"/>
      <c r="K37" s="19">
        <f t="shared" si="1"/>
        <v>0</v>
      </c>
      <c r="L37" s="18"/>
      <c r="M37" s="19">
        <f t="shared" si="2"/>
        <v>0</v>
      </c>
      <c r="N37" s="3"/>
      <c r="O37" s="30">
        <f t="shared" si="3"/>
        <v>0</v>
      </c>
      <c r="P37" s="30">
        <f t="shared" si="4"/>
        <v>0</v>
      </c>
      <c r="Q37" s="30">
        <f t="shared" si="5"/>
        <v>0</v>
      </c>
    </row>
    <row r="38" spans="1:17" x14ac:dyDescent="0.25">
      <c r="A38" s="103" t="s">
        <v>45</v>
      </c>
      <c r="B38" s="103"/>
      <c r="C38" s="26"/>
      <c r="D38" s="27"/>
      <c r="E38" s="27">
        <v>1228050.95</v>
      </c>
      <c r="F38" s="17">
        <f t="shared" si="0"/>
        <v>1228050.95</v>
      </c>
      <c r="G38" s="18"/>
      <c r="H38" s="28"/>
      <c r="I38" s="28"/>
      <c r="J38" s="28">
        <f>'[8]152'!G109+'[8]152'!G110</f>
        <v>8508108.9299999997</v>
      </c>
      <c r="K38" s="19">
        <f t="shared" si="1"/>
        <v>8508108.9299999997</v>
      </c>
      <c r="L38" s="18"/>
      <c r="M38" s="19">
        <f t="shared" si="2"/>
        <v>-7280057.9799999995</v>
      </c>
      <c r="N38" s="29" t="s">
        <v>46</v>
      </c>
      <c r="O38" s="30">
        <f t="shared" si="3"/>
        <v>0</v>
      </c>
      <c r="P38" s="30">
        <f t="shared" si="4"/>
        <v>0</v>
      </c>
      <c r="Q38" s="30">
        <f t="shared" si="5"/>
        <v>-7280057.9799999995</v>
      </c>
    </row>
    <row r="39" spans="1:17" x14ac:dyDescent="0.25">
      <c r="A39" s="103" t="s">
        <v>47</v>
      </c>
      <c r="B39" s="103"/>
      <c r="C39" s="26"/>
      <c r="D39" s="27"/>
      <c r="E39" s="27">
        <v>238300.7</v>
      </c>
      <c r="F39" s="17">
        <f t="shared" si="0"/>
        <v>238300.7</v>
      </c>
      <c r="G39" s="18"/>
      <c r="H39" s="28"/>
      <c r="I39" s="28"/>
      <c r="J39" s="28">
        <f>'[8]153'!F28</f>
        <v>238300.7</v>
      </c>
      <c r="K39" s="19">
        <f t="shared" si="1"/>
        <v>238300.7</v>
      </c>
      <c r="L39" s="18"/>
      <c r="M39" s="19">
        <f t="shared" si="2"/>
        <v>0</v>
      </c>
      <c r="N39" s="32"/>
      <c r="O39" s="30">
        <f t="shared" si="3"/>
        <v>0</v>
      </c>
      <c r="P39" s="30">
        <f t="shared" si="4"/>
        <v>0</v>
      </c>
      <c r="Q39" s="30">
        <f t="shared" si="5"/>
        <v>0</v>
      </c>
    </row>
    <row r="40" spans="1:17" x14ac:dyDescent="0.25">
      <c r="A40" s="103" t="s">
        <v>48</v>
      </c>
      <c r="B40" s="103"/>
      <c r="C40" s="26">
        <v>36297082.379999995</v>
      </c>
      <c r="D40" s="27">
        <v>36538970.549999997</v>
      </c>
      <c r="E40" s="27">
        <v>2000</v>
      </c>
      <c r="F40" s="17">
        <f t="shared" si="0"/>
        <v>72838052.929999992</v>
      </c>
      <c r="G40" s="18"/>
      <c r="H40" s="28">
        <f>'[8]154'!G88</f>
        <v>36297082.379999995</v>
      </c>
      <c r="I40" s="28">
        <f>'[8]154'!G89</f>
        <v>36538970.549999997</v>
      </c>
      <c r="J40" s="28">
        <f>'[8]154'!G90-'[8]154'!H91</f>
        <v>-1088317.07</v>
      </c>
      <c r="K40" s="19">
        <f t="shared" si="1"/>
        <v>71747735.859999999</v>
      </c>
      <c r="L40" s="18"/>
      <c r="M40" s="19">
        <f t="shared" si="2"/>
        <v>1090317.0699999928</v>
      </c>
      <c r="N40" s="29" t="s">
        <v>23</v>
      </c>
      <c r="O40" s="30">
        <f t="shared" si="3"/>
        <v>0</v>
      </c>
      <c r="P40" s="30">
        <f t="shared" si="4"/>
        <v>0</v>
      </c>
      <c r="Q40" s="30">
        <f t="shared" si="5"/>
        <v>1090317.07</v>
      </c>
    </row>
    <row r="41" spans="1:17" x14ac:dyDescent="0.25">
      <c r="A41" s="103" t="s">
        <v>49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3"/>
      <c r="O41" s="30">
        <f t="shared" si="3"/>
        <v>0</v>
      </c>
      <c r="P41" s="30">
        <f t="shared" si="4"/>
        <v>0</v>
      </c>
      <c r="Q41" s="30">
        <f t="shared" si="5"/>
        <v>0</v>
      </c>
    </row>
    <row r="42" spans="1:17" x14ac:dyDescent="0.25">
      <c r="A42" s="103" t="s">
        <v>50</v>
      </c>
      <c r="B42" s="103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3"/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spans="1:17" x14ac:dyDescent="0.25">
      <c r="A43" s="102" t="s">
        <v>51</v>
      </c>
      <c r="B43" s="102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3"/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spans="1:17" x14ac:dyDescent="0.25">
      <c r="A44" s="103" t="s">
        <v>52</v>
      </c>
      <c r="B44" s="103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3"/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spans="1:17" x14ac:dyDescent="0.25">
      <c r="A45" s="102" t="s">
        <v>53</v>
      </c>
      <c r="B45" s="102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3"/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spans="1:17" x14ac:dyDescent="0.25">
      <c r="A46" s="103" t="s">
        <v>54</v>
      </c>
      <c r="B46" s="103"/>
      <c r="C46" s="26"/>
      <c r="D46" s="27"/>
      <c r="E46" s="27"/>
      <c r="F46" s="17">
        <f t="shared" si="0"/>
        <v>0</v>
      </c>
      <c r="G46" s="18"/>
      <c r="H46" s="28"/>
      <c r="I46" s="28"/>
      <c r="J46" s="28"/>
      <c r="K46" s="19">
        <f t="shared" si="1"/>
        <v>0</v>
      </c>
      <c r="L46" s="18"/>
      <c r="M46" s="19">
        <f t="shared" si="2"/>
        <v>0</v>
      </c>
      <c r="N46" s="3"/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spans="1:17" x14ac:dyDescent="0.25">
      <c r="A47" s="103" t="s">
        <v>55</v>
      </c>
      <c r="B47" s="103"/>
      <c r="C47" s="37"/>
      <c r="D47" s="38"/>
      <c r="E47" s="38"/>
      <c r="F47" s="17">
        <f t="shared" si="0"/>
        <v>0</v>
      </c>
      <c r="G47" s="24"/>
      <c r="H47" s="28"/>
      <c r="I47" s="28"/>
      <c r="J47" s="28"/>
      <c r="K47" s="19">
        <f t="shared" si="1"/>
        <v>0</v>
      </c>
      <c r="L47" s="24"/>
      <c r="M47" s="19">
        <f t="shared" si="2"/>
        <v>0</v>
      </c>
      <c r="N47" s="25"/>
      <c r="O47" s="30">
        <f t="shared" si="3"/>
        <v>0</v>
      </c>
      <c r="P47" s="30">
        <f t="shared" si="4"/>
        <v>0</v>
      </c>
      <c r="Q47" s="30">
        <f t="shared" si="5"/>
        <v>0</v>
      </c>
    </row>
    <row r="48" spans="1:17" x14ac:dyDescent="0.25">
      <c r="A48" s="105"/>
      <c r="B48" s="105"/>
      <c r="C48" s="22"/>
      <c r="D48" s="23"/>
      <c r="E48" s="23"/>
      <c r="F48" s="17"/>
      <c r="G48" s="24"/>
      <c r="H48" s="28"/>
      <c r="I48" s="28"/>
      <c r="J48" s="28"/>
      <c r="K48" s="19"/>
      <c r="L48" s="24"/>
      <c r="M48" s="19"/>
      <c r="N48" s="25"/>
    </row>
    <row r="49" spans="1:14" x14ac:dyDescent="0.25">
      <c r="A49" s="106" t="s">
        <v>56</v>
      </c>
      <c r="B49" s="106"/>
      <c r="C49" s="39">
        <f>SUM(C14:C48)</f>
        <v>70426040.639999986</v>
      </c>
      <c r="D49" s="40">
        <f>SUM(D14:D48)</f>
        <v>70947896.170000002</v>
      </c>
      <c r="E49" s="40">
        <f>SUM(E14:E48)</f>
        <v>7595001.5700000003</v>
      </c>
      <c r="F49" s="40">
        <f>SUM(F14:F48)</f>
        <v>148968938.38</v>
      </c>
      <c r="G49" s="18"/>
      <c r="H49" s="40">
        <f>SUM(H14:H48)</f>
        <v>70426040.639999986</v>
      </c>
      <c r="I49" s="40">
        <f>SUM(I14:I48)</f>
        <v>70947896.169999987</v>
      </c>
      <c r="J49" s="40">
        <f>SUM(J14:J48)</f>
        <v>13001865.859999998</v>
      </c>
      <c r="K49" s="40">
        <f>SUM(K14:K48)</f>
        <v>154375802.66999999</v>
      </c>
      <c r="L49" s="18"/>
      <c r="M49" s="57">
        <f>F49-K49</f>
        <v>-5406864.2899999917</v>
      </c>
      <c r="N49" s="59">
        <f>M49-C53-C54-C55</f>
        <v>8.3819031715393066E-9</v>
      </c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4"/>
      <c r="J50" s="43"/>
      <c r="K50" s="14"/>
      <c r="L50" s="14"/>
      <c r="M50" s="14"/>
      <c r="N50" s="3"/>
    </row>
    <row r="51" spans="1:14" x14ac:dyDescent="0.25">
      <c r="A51" s="42"/>
      <c r="B51" s="14"/>
      <c r="C51" s="43"/>
      <c r="D51" s="43"/>
      <c r="E51" s="43"/>
      <c r="F51" s="43"/>
      <c r="G51" s="14"/>
      <c r="H51" s="14"/>
      <c r="I51" s="14"/>
      <c r="J51" s="43"/>
      <c r="K51" s="30"/>
      <c r="L51" s="14"/>
      <c r="M51" s="14"/>
      <c r="N51" s="3"/>
    </row>
    <row r="52" spans="1:14" x14ac:dyDescent="0.25">
      <c r="A52" s="15" t="s">
        <v>57</v>
      </c>
      <c r="B52" s="20"/>
      <c r="C52" s="44" t="s">
        <v>58</v>
      </c>
      <c r="D52" s="43"/>
      <c r="E52" s="43"/>
      <c r="F52" s="43"/>
      <c r="G52" s="14"/>
      <c r="H52" s="14"/>
      <c r="I52" s="14"/>
      <c r="J52" s="43"/>
      <c r="K52" s="18"/>
      <c r="L52" s="14"/>
      <c r="M52" s="14"/>
      <c r="N52" s="3"/>
    </row>
    <row r="53" spans="1:14" x14ac:dyDescent="0.25">
      <c r="A53" s="103" t="s">
        <v>59</v>
      </c>
      <c r="B53" s="103"/>
      <c r="C53" s="45">
        <f>'[8]113'!H148+'[8]121'!H59+'[8]131'!H51+'[8]134'!H54+'[8]141'!H45+'[8]142'!G34+'[8]143'!G29+'[8]154'!H91</f>
        <v>2326564.17</v>
      </c>
      <c r="D53" s="14"/>
      <c r="E53" s="14"/>
      <c r="F53" s="14"/>
      <c r="G53" s="14"/>
      <c r="H53" s="14"/>
      <c r="I53" s="14"/>
      <c r="J53" s="14"/>
      <c r="K53" s="18"/>
      <c r="L53" s="14"/>
      <c r="M53" s="14"/>
      <c r="N53" s="3"/>
    </row>
    <row r="54" spans="1:14" x14ac:dyDescent="0.25">
      <c r="A54" s="33" t="s">
        <v>60</v>
      </c>
      <c r="B54" s="46"/>
      <c r="C54" s="45">
        <f>-'[8]144'!F27</f>
        <v>-453370.48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3"/>
    </row>
    <row r="55" spans="1:14" x14ac:dyDescent="0.25">
      <c r="A55" s="47" t="s">
        <v>61</v>
      </c>
      <c r="B55" s="48"/>
      <c r="C55" s="45">
        <f>-'[8]152'!G109</f>
        <v>-7280057.9799999995</v>
      </c>
      <c r="D55" s="49"/>
      <c r="E55" s="14"/>
      <c r="F55" s="14"/>
      <c r="G55" s="14"/>
      <c r="H55" s="14"/>
      <c r="I55" s="14"/>
      <c r="J55" s="14"/>
      <c r="K55" s="14"/>
      <c r="L55" s="14"/>
      <c r="M55" s="18"/>
      <c r="N55" s="3"/>
    </row>
    <row r="56" spans="1:14" x14ac:dyDescent="0.25">
      <c r="A56" s="50"/>
      <c r="B56" s="50"/>
      <c r="C56" s="43"/>
      <c r="D56" s="49"/>
      <c r="E56" s="14"/>
      <c r="F56" s="14"/>
      <c r="G56" s="14"/>
      <c r="H56" s="14"/>
      <c r="I56" s="14"/>
      <c r="J56" s="14"/>
      <c r="K56" s="14"/>
      <c r="L56" s="14"/>
      <c r="M56" s="18"/>
      <c r="N56" s="3"/>
    </row>
    <row r="57" spans="1:14" x14ac:dyDescent="0.25">
      <c r="A57" s="50"/>
      <c r="B57" s="50"/>
      <c r="C57" s="43"/>
      <c r="D57" s="14"/>
      <c r="E57" s="14"/>
      <c r="F57" s="14"/>
      <c r="G57" s="14"/>
      <c r="H57" s="14"/>
      <c r="I57" s="14"/>
      <c r="J57" s="14"/>
      <c r="K57" s="14"/>
      <c r="L57" s="14"/>
      <c r="M57" s="18"/>
      <c r="N57" s="3"/>
    </row>
    <row r="58" spans="1:14" x14ac:dyDescent="0.25">
      <c r="A58" s="50"/>
      <c r="B58" s="50"/>
      <c r="C58" s="43"/>
      <c r="D58" s="14"/>
      <c r="E58" s="14"/>
      <c r="F58" s="14"/>
      <c r="G58" s="14"/>
      <c r="H58" s="14"/>
      <c r="I58" s="14"/>
      <c r="J58" s="14"/>
      <c r="K58" s="14"/>
      <c r="L58" s="14"/>
      <c r="M58" s="18"/>
      <c r="N58" s="3"/>
    </row>
    <row r="59" spans="1:14" x14ac:dyDescent="0.25">
      <c r="B59" s="3"/>
      <c r="C59" s="4"/>
      <c r="D59" s="107"/>
      <c r="E59" s="107"/>
      <c r="F59" s="51"/>
      <c r="G59" s="3"/>
      <c r="H59" s="107"/>
      <c r="I59" s="107"/>
      <c r="J59" s="107"/>
      <c r="K59" s="3"/>
      <c r="L59" s="3"/>
      <c r="M59" s="32"/>
      <c r="N59" s="32"/>
    </row>
    <row r="60" spans="1:14" ht="15.75" thickBot="1" x14ac:dyDescent="0.3">
      <c r="B60" s="3"/>
      <c r="C60" s="4"/>
      <c r="D60" s="107"/>
      <c r="E60" s="107"/>
      <c r="F60" s="52"/>
      <c r="G60" s="3"/>
      <c r="H60" s="111"/>
      <c r="I60" s="111"/>
      <c r="J60" s="25"/>
      <c r="K60" s="112"/>
      <c r="L60" s="112"/>
      <c r="M60" s="112"/>
      <c r="N60" s="32"/>
    </row>
    <row r="61" spans="1:14" x14ac:dyDescent="0.25">
      <c r="A61" s="53" t="s">
        <v>62</v>
      </c>
      <c r="B61" s="3"/>
      <c r="C61" s="113" t="s">
        <v>63</v>
      </c>
      <c r="D61" s="113"/>
      <c r="E61" s="52"/>
      <c r="F61" s="52"/>
      <c r="G61" s="3"/>
      <c r="H61" s="113" t="s">
        <v>62</v>
      </c>
      <c r="I61" s="113"/>
      <c r="J61" s="54"/>
      <c r="K61" s="113" t="s">
        <v>63</v>
      </c>
      <c r="L61" s="113"/>
      <c r="M61" s="113"/>
      <c r="N61" s="32"/>
    </row>
    <row r="62" spans="1:14" x14ac:dyDescent="0.25">
      <c r="A62" s="55" t="s">
        <v>64</v>
      </c>
      <c r="B62" s="3"/>
      <c r="C62" s="108" t="s">
        <v>65</v>
      </c>
      <c r="D62" s="108"/>
      <c r="E62" s="4"/>
      <c r="F62" s="4"/>
      <c r="G62" s="3"/>
      <c r="H62" s="109" t="s">
        <v>66</v>
      </c>
      <c r="I62" s="109"/>
      <c r="J62" s="4"/>
      <c r="K62" s="109" t="s">
        <v>67</v>
      </c>
      <c r="L62" s="109"/>
      <c r="M62" s="109"/>
      <c r="N62" s="3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</row>
    <row r="64" spans="1:14" x14ac:dyDescent="0.25">
      <c r="B64" s="3"/>
      <c r="C64" s="4"/>
      <c r="D64" s="4"/>
      <c r="E64" s="4"/>
      <c r="F64" s="4"/>
      <c r="G64" s="3"/>
      <c r="H64" s="3"/>
      <c r="I64" s="3"/>
      <c r="J64" s="4"/>
      <c r="K64" s="3"/>
      <c r="L64" s="3"/>
      <c r="M64" s="32"/>
      <c r="N64" s="32"/>
    </row>
    <row r="65" spans="1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32"/>
    </row>
    <row r="66" spans="1:14" ht="15" customHeight="1" x14ac:dyDescent="0.25">
      <c r="A66" s="110" t="s">
        <v>68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32"/>
    </row>
    <row r="67" spans="1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</row>
    <row r="68" spans="1:14" x14ac:dyDescent="0.25">
      <c r="B68" s="3"/>
      <c r="C68" s="4"/>
      <c r="D68" s="4"/>
      <c r="E68" s="4"/>
      <c r="F68" s="4"/>
      <c r="G68" s="3"/>
      <c r="H68" s="3"/>
      <c r="I68" s="3"/>
      <c r="J68" s="4"/>
      <c r="K68" s="3"/>
      <c r="L68" s="3"/>
      <c r="M68" s="32"/>
      <c r="N68" s="32"/>
    </row>
    <row r="69" spans="1:14" x14ac:dyDescent="0.25">
      <c r="B69" s="3"/>
      <c r="C69" s="4"/>
      <c r="D69" s="4"/>
      <c r="E69" s="4"/>
      <c r="F69" s="4"/>
      <c r="G69" s="3"/>
      <c r="H69" s="3"/>
      <c r="I69" s="3"/>
      <c r="J69" s="4"/>
      <c r="K69" s="3"/>
      <c r="L69" s="3"/>
      <c r="M69" s="32"/>
      <c r="N69" s="32"/>
    </row>
  </sheetData>
  <mergeCells count="57">
    <mergeCell ref="D60:E60"/>
    <mergeCell ref="H60:I60"/>
    <mergeCell ref="A66:M66"/>
    <mergeCell ref="K60:M60"/>
    <mergeCell ref="C61:D61"/>
    <mergeCell ref="H61:I61"/>
    <mergeCell ref="K61:M61"/>
    <mergeCell ref="C62:D62"/>
    <mergeCell ref="H62:I62"/>
    <mergeCell ref="K62:M62"/>
    <mergeCell ref="A48:B48"/>
    <mergeCell ref="A49:B49"/>
    <mergeCell ref="A53:B53"/>
    <mergeCell ref="D59:E59"/>
    <mergeCell ref="H59:J59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6:B36"/>
    <mergeCell ref="A37:B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1:B11"/>
    <mergeCell ref="C11:E11"/>
    <mergeCell ref="H11:J11"/>
    <mergeCell ref="A12:B12"/>
    <mergeCell ref="A13:B13"/>
    <mergeCell ref="A1:M1"/>
    <mergeCell ref="B2:M2"/>
    <mergeCell ref="A3:M3"/>
    <mergeCell ref="A6:B6"/>
    <mergeCell ref="A9:B10"/>
    <mergeCell ref="C10:F10"/>
    <mergeCell ref="H10:K10"/>
  </mergeCells>
  <pageMargins left="0.19685039370078741" right="0.19685039370078741" top="0.39370078740157483" bottom="0.39370078740157483" header="0.31496062992125984" footer="0.31496062992125984"/>
  <pageSetup scale="5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2A80-1FAC-4B67-9486-5299FEFA7E34}">
  <dimension ref="A1:U67"/>
  <sheetViews>
    <sheetView zoomScale="91" zoomScaleNormal="91" workbookViewId="0">
      <selection activeCell="C46" sqref="C46"/>
    </sheetView>
  </sheetViews>
  <sheetFormatPr baseColWidth="10" defaultRowHeight="15" x14ac:dyDescent="0.25"/>
  <cols>
    <col min="1" max="1" width="51" customWidth="1"/>
    <col min="2" max="2" width="24.85546875" customWidth="1"/>
    <col min="3" max="6" width="20.7109375" customWidth="1"/>
    <col min="7" max="7" width="2.7109375" customWidth="1"/>
    <col min="8" max="11" width="20.7109375" customWidth="1"/>
    <col min="12" max="12" width="2.7109375" customWidth="1"/>
    <col min="13" max="13" width="20.7109375" customWidth="1"/>
    <col min="15" max="15" width="11.5703125" bestFit="1" customWidth="1"/>
    <col min="16" max="16" width="14.5703125" customWidth="1"/>
    <col min="17" max="17" width="17" customWidth="1"/>
    <col min="18" max="18" width="13.140625" bestFit="1" customWidth="1"/>
  </cols>
  <sheetData>
    <row r="1" spans="1:21" ht="1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"/>
    </row>
    <row r="2" spans="1:21" ht="12" customHeight="1" x14ac:dyDescent="0.4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3"/>
    </row>
    <row r="3" spans="1:21" ht="26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21" x14ac:dyDescent="0.25">
      <c r="B4" s="3"/>
      <c r="C4" s="4"/>
      <c r="D4" s="4"/>
      <c r="E4" s="4"/>
      <c r="F4" s="4"/>
      <c r="G4" s="3"/>
      <c r="H4" s="3"/>
      <c r="I4" s="3"/>
      <c r="J4" s="4"/>
      <c r="K4" s="3"/>
      <c r="L4" s="3"/>
      <c r="M4" s="3"/>
      <c r="N4" s="3"/>
    </row>
    <row r="5" spans="1:21" ht="15" customHeight="1" x14ac:dyDescent="0.25">
      <c r="A5" s="2" t="s">
        <v>2</v>
      </c>
      <c r="B5" s="2"/>
      <c r="C5" s="4"/>
      <c r="D5" s="4"/>
      <c r="E5" s="4"/>
      <c r="F5" s="4"/>
      <c r="G5" s="3"/>
      <c r="H5" s="3"/>
      <c r="I5" s="3"/>
      <c r="J5" s="4"/>
      <c r="K5" s="3"/>
      <c r="L5" s="3"/>
      <c r="M5" s="3"/>
      <c r="N5" s="3"/>
    </row>
    <row r="6" spans="1:21" ht="15" customHeight="1" x14ac:dyDescent="0.25">
      <c r="A6" s="90" t="s">
        <v>75</v>
      </c>
      <c r="B6" s="90"/>
      <c r="C6" s="4"/>
      <c r="D6" s="4"/>
      <c r="E6" s="4"/>
      <c r="F6" s="4"/>
      <c r="G6" s="3"/>
      <c r="H6" s="3"/>
      <c r="I6" s="3"/>
      <c r="J6" s="4"/>
      <c r="K6" s="3"/>
      <c r="L6" s="3"/>
      <c r="M6" s="3"/>
      <c r="N6" s="3"/>
    </row>
    <row r="7" spans="1:21" x14ac:dyDescent="0.25">
      <c r="B7" s="3"/>
      <c r="C7" s="4"/>
      <c r="D7" s="4"/>
      <c r="E7" s="4"/>
      <c r="F7" s="4"/>
      <c r="G7" s="3"/>
      <c r="H7" s="3"/>
      <c r="I7" s="3"/>
      <c r="J7" s="4"/>
      <c r="K7" s="3"/>
      <c r="L7" s="3"/>
      <c r="M7" s="3"/>
      <c r="N7" s="3"/>
    </row>
    <row r="8" spans="1:21" ht="15.75" customHeight="1" thickBot="1" x14ac:dyDescent="0.3">
      <c r="A8" s="91" t="s">
        <v>4</v>
      </c>
      <c r="B8" s="91"/>
      <c r="C8" s="4"/>
      <c r="D8" s="4"/>
      <c r="E8" s="4"/>
      <c r="F8" s="4"/>
      <c r="G8" s="3"/>
      <c r="H8" s="3"/>
      <c r="I8" s="3"/>
      <c r="J8" s="4"/>
      <c r="K8" s="3"/>
      <c r="L8" s="3"/>
      <c r="M8" s="3"/>
      <c r="N8" s="3"/>
    </row>
    <row r="9" spans="1:21" ht="15.75" customHeight="1" thickBot="1" x14ac:dyDescent="0.3">
      <c r="A9" s="91"/>
      <c r="B9" s="91"/>
      <c r="C9" s="92" t="s">
        <v>5</v>
      </c>
      <c r="D9" s="92"/>
      <c r="E9" s="92"/>
      <c r="F9" s="93"/>
      <c r="G9" s="5"/>
      <c r="H9" s="94" t="s">
        <v>6</v>
      </c>
      <c r="I9" s="95"/>
      <c r="J9" s="95"/>
      <c r="K9" s="96"/>
      <c r="L9" s="5"/>
      <c r="M9" s="6"/>
      <c r="N9" s="5"/>
    </row>
    <row r="10" spans="1:21" ht="15.75" thickBot="1" x14ac:dyDescent="0.3">
      <c r="A10" s="97" t="s">
        <v>7</v>
      </c>
      <c r="B10" s="97"/>
      <c r="C10" s="98" t="s">
        <v>8</v>
      </c>
      <c r="D10" s="92"/>
      <c r="E10" s="93"/>
      <c r="F10" s="7" t="s">
        <v>9</v>
      </c>
      <c r="G10" s="5"/>
      <c r="H10" s="99" t="s">
        <v>10</v>
      </c>
      <c r="I10" s="92"/>
      <c r="J10" s="93"/>
      <c r="K10" s="7" t="s">
        <v>11</v>
      </c>
      <c r="L10" s="5"/>
      <c r="M10" s="8" t="s">
        <v>12</v>
      </c>
      <c r="N10" s="5"/>
      <c r="O10" s="5"/>
      <c r="P10" s="5"/>
      <c r="Q10" s="5"/>
      <c r="R10" s="5"/>
      <c r="S10" s="5"/>
      <c r="T10" s="5"/>
      <c r="U10" s="5"/>
    </row>
    <row r="11" spans="1:21" ht="68.25" customHeight="1" thickBot="1" x14ac:dyDescent="0.3">
      <c r="A11" s="91" t="s">
        <v>13</v>
      </c>
      <c r="B11" s="91"/>
      <c r="C11" s="9" t="s">
        <v>14</v>
      </c>
      <c r="D11" s="10" t="s">
        <v>15</v>
      </c>
      <c r="E11" s="10" t="s">
        <v>16</v>
      </c>
      <c r="F11" s="10" t="s">
        <v>17</v>
      </c>
      <c r="G11" s="11"/>
      <c r="H11" s="12" t="s">
        <v>14</v>
      </c>
      <c r="I11" s="10" t="s">
        <v>15</v>
      </c>
      <c r="J11" s="10" t="s">
        <v>16</v>
      </c>
      <c r="K11" s="10" t="s">
        <v>17</v>
      </c>
      <c r="L11" s="11"/>
      <c r="M11" s="8" t="s">
        <v>18</v>
      </c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100"/>
      <c r="B12" s="101"/>
      <c r="C12" s="13"/>
      <c r="D12" s="13"/>
      <c r="E12" s="13"/>
      <c r="F12" s="13"/>
      <c r="G12" s="14"/>
      <c r="H12" s="14"/>
      <c r="I12" s="14"/>
      <c r="J12" s="13"/>
      <c r="K12" s="14"/>
      <c r="L12" s="14"/>
      <c r="M12" s="14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102" t="s">
        <v>19</v>
      </c>
      <c r="B13" s="102"/>
      <c r="C13" s="16"/>
      <c r="D13" s="17"/>
      <c r="E13" s="16"/>
      <c r="F13" s="17">
        <f t="shared" ref="F13:F46" si="0">SUM(C13:E13)</f>
        <v>0</v>
      </c>
      <c r="G13" s="18"/>
      <c r="H13" s="17"/>
      <c r="I13" s="17"/>
      <c r="J13" s="17"/>
      <c r="K13" s="19">
        <f t="shared" ref="K13:K46" si="1">SUM(H13:J13)</f>
        <v>0</v>
      </c>
      <c r="L13" s="18"/>
      <c r="M13" s="19">
        <f t="shared" ref="M13:M46" si="2">F13-K13</f>
        <v>0</v>
      </c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103" t="s">
        <v>20</v>
      </c>
      <c r="B14" s="103"/>
      <c r="C14" s="21"/>
      <c r="D14" s="19"/>
      <c r="E14" s="21"/>
      <c r="F14" s="17">
        <f t="shared" si="0"/>
        <v>0</v>
      </c>
      <c r="G14" s="18"/>
      <c r="H14" s="19"/>
      <c r="I14" s="19"/>
      <c r="J14" s="19"/>
      <c r="K14" s="19">
        <f t="shared" si="1"/>
        <v>0</v>
      </c>
      <c r="L14" s="18"/>
      <c r="M14" s="19">
        <f t="shared" si="2"/>
        <v>0</v>
      </c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103" t="s">
        <v>21</v>
      </c>
      <c r="B15" s="103"/>
      <c r="C15" s="22"/>
      <c r="D15" s="23"/>
      <c r="E15" s="22"/>
      <c r="F15" s="17">
        <f t="shared" si="0"/>
        <v>0</v>
      </c>
      <c r="G15" s="24"/>
      <c r="H15" s="23"/>
      <c r="I15" s="23"/>
      <c r="J15" s="23"/>
      <c r="K15" s="19">
        <f t="shared" si="1"/>
        <v>0</v>
      </c>
      <c r="L15" s="24"/>
      <c r="M15" s="19">
        <f t="shared" si="2"/>
        <v>0</v>
      </c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103" t="s">
        <v>22</v>
      </c>
      <c r="B16" s="103"/>
      <c r="C16" s="26">
        <v>20813686.279999997</v>
      </c>
      <c r="D16" s="27">
        <v>21219459.48</v>
      </c>
      <c r="E16" s="27">
        <v>37453.050000000003</v>
      </c>
      <c r="F16" s="17">
        <f t="shared" si="0"/>
        <v>42070598.809999995</v>
      </c>
      <c r="G16" s="18"/>
      <c r="H16" s="28">
        <f>'[9]113'!G137</f>
        <v>20813686.279999997</v>
      </c>
      <c r="I16" s="28">
        <f>'[9]113'!G138</f>
        <v>21219459.479999997</v>
      </c>
      <c r="J16" s="28">
        <f>'[9]113'!G139-'[9]113'!H138-'[9]113'!H140</f>
        <v>-740898.80999999994</v>
      </c>
      <c r="K16" s="19">
        <f t="shared" si="1"/>
        <v>41292246.949999988</v>
      </c>
      <c r="L16" s="18"/>
      <c r="M16" s="19">
        <f t="shared" si="2"/>
        <v>778351.86000000685</v>
      </c>
      <c r="N16" s="29" t="s">
        <v>23</v>
      </c>
      <c r="O16" s="62">
        <f t="shared" ref="O16:O47" si="3">C16-H16</f>
        <v>0</v>
      </c>
      <c r="P16" s="62">
        <f t="shared" ref="P16:P47" si="4">D16-I16</f>
        <v>0</v>
      </c>
      <c r="Q16" s="62">
        <f t="shared" ref="Q16:Q47" si="5">E16-J16</f>
        <v>778351.86</v>
      </c>
      <c r="R16" s="5"/>
      <c r="S16" s="5"/>
      <c r="T16" s="5"/>
      <c r="U16" s="5"/>
    </row>
    <row r="17" spans="1:21" x14ac:dyDescent="0.25">
      <c r="A17" s="103" t="s">
        <v>24</v>
      </c>
      <c r="B17" s="103"/>
      <c r="C17" s="26"/>
      <c r="D17" s="27"/>
      <c r="E17" s="27"/>
      <c r="F17" s="17">
        <f t="shared" si="0"/>
        <v>0</v>
      </c>
      <c r="G17" s="18"/>
      <c r="H17" s="28"/>
      <c r="I17" s="28"/>
      <c r="J17" s="28"/>
      <c r="K17" s="19">
        <f t="shared" si="1"/>
        <v>0</v>
      </c>
      <c r="L17" s="18"/>
      <c r="M17" s="19">
        <f t="shared" si="2"/>
        <v>0</v>
      </c>
      <c r="N17" s="5"/>
      <c r="O17" s="62">
        <f t="shared" si="3"/>
        <v>0</v>
      </c>
      <c r="P17" s="62">
        <f t="shared" si="4"/>
        <v>0</v>
      </c>
      <c r="Q17" s="62">
        <f t="shared" si="5"/>
        <v>0</v>
      </c>
      <c r="R17" s="5"/>
      <c r="S17" s="5"/>
      <c r="T17" s="5"/>
      <c r="U17" s="5"/>
    </row>
    <row r="18" spans="1:21" x14ac:dyDescent="0.25">
      <c r="A18" s="102" t="s">
        <v>25</v>
      </c>
      <c r="B18" s="102"/>
      <c r="C18" s="26"/>
      <c r="D18" s="27"/>
      <c r="E18" s="27"/>
      <c r="F18" s="17">
        <f t="shared" si="0"/>
        <v>0</v>
      </c>
      <c r="G18" s="18"/>
      <c r="H18" s="28"/>
      <c r="I18" s="28"/>
      <c r="J18" s="28"/>
      <c r="K18" s="19">
        <f t="shared" si="1"/>
        <v>0</v>
      </c>
      <c r="L18" s="18"/>
      <c r="M18" s="19">
        <f t="shared" si="2"/>
        <v>0</v>
      </c>
      <c r="N18" s="5"/>
      <c r="O18" s="62">
        <f t="shared" si="3"/>
        <v>0</v>
      </c>
      <c r="P18" s="62">
        <f t="shared" si="4"/>
        <v>0</v>
      </c>
      <c r="Q18" s="62">
        <f t="shared" si="5"/>
        <v>0</v>
      </c>
      <c r="R18" s="5"/>
      <c r="S18" s="5"/>
      <c r="T18" s="5"/>
      <c r="U18" s="5"/>
    </row>
    <row r="19" spans="1:21" x14ac:dyDescent="0.25">
      <c r="A19" s="103" t="s">
        <v>26</v>
      </c>
      <c r="B19" s="103"/>
      <c r="C19" s="26">
        <v>5118844.5</v>
      </c>
      <c r="D19" s="27">
        <v>5003720</v>
      </c>
      <c r="E19" s="27">
        <v>803623.35000000009</v>
      </c>
      <c r="F19" s="17">
        <f t="shared" si="0"/>
        <v>10926187.85</v>
      </c>
      <c r="G19" s="18"/>
      <c r="H19" s="28">
        <f>'[9]121'!F59</f>
        <v>5118844.5</v>
      </c>
      <c r="I19" s="28">
        <f>'[9]121'!F60</f>
        <v>5003720</v>
      </c>
      <c r="J19" s="28">
        <f>'[9]121'!F61+'[9]121'!F62+'[9]121'!F63</f>
        <v>803623.35000000009</v>
      </c>
      <c r="K19" s="19">
        <f t="shared" si="1"/>
        <v>10926187.85</v>
      </c>
      <c r="L19" s="18"/>
      <c r="M19" s="19">
        <f t="shared" si="2"/>
        <v>0</v>
      </c>
      <c r="N19" s="5"/>
      <c r="O19" s="62">
        <f t="shared" si="3"/>
        <v>0</v>
      </c>
      <c r="P19" s="62">
        <f t="shared" si="4"/>
        <v>0</v>
      </c>
      <c r="Q19" s="62">
        <f t="shared" si="5"/>
        <v>0</v>
      </c>
      <c r="R19" s="5"/>
      <c r="S19" s="5"/>
      <c r="T19" s="5"/>
      <c r="U19" s="5"/>
    </row>
    <row r="20" spans="1:21" x14ac:dyDescent="0.25">
      <c r="A20" s="103" t="s">
        <v>27</v>
      </c>
      <c r="B20" s="103"/>
      <c r="C20" s="26"/>
      <c r="D20" s="27"/>
      <c r="E20" s="27"/>
      <c r="F20" s="17">
        <f t="shared" si="0"/>
        <v>0</v>
      </c>
      <c r="G20" s="24"/>
      <c r="H20" s="28"/>
      <c r="I20" s="28"/>
      <c r="J20" s="28"/>
      <c r="K20" s="19">
        <f t="shared" si="1"/>
        <v>0</v>
      </c>
      <c r="L20" s="24"/>
      <c r="M20" s="19">
        <f t="shared" si="2"/>
        <v>0</v>
      </c>
      <c r="N20" s="5"/>
      <c r="O20" s="62">
        <f t="shared" si="3"/>
        <v>0</v>
      </c>
      <c r="P20" s="62">
        <f t="shared" si="4"/>
        <v>0</v>
      </c>
      <c r="Q20" s="62">
        <f t="shared" si="5"/>
        <v>0</v>
      </c>
      <c r="R20" s="5"/>
      <c r="S20" s="5"/>
      <c r="T20" s="5"/>
      <c r="U20" s="5"/>
    </row>
    <row r="21" spans="1:21" x14ac:dyDescent="0.25">
      <c r="A21" s="103" t="s">
        <v>28</v>
      </c>
      <c r="B21" s="103"/>
      <c r="C21" s="26"/>
      <c r="D21" s="27"/>
      <c r="E21" s="27"/>
      <c r="F21" s="17">
        <f t="shared" si="0"/>
        <v>0</v>
      </c>
      <c r="G21" s="18"/>
      <c r="H21" s="28"/>
      <c r="I21" s="28"/>
      <c r="J21" s="28"/>
      <c r="K21" s="19">
        <f t="shared" si="1"/>
        <v>0</v>
      </c>
      <c r="L21" s="18"/>
      <c r="M21" s="19">
        <f t="shared" si="2"/>
        <v>0</v>
      </c>
      <c r="N21" s="5"/>
      <c r="O21" s="62">
        <f t="shared" si="3"/>
        <v>0</v>
      </c>
      <c r="P21" s="62">
        <f t="shared" si="4"/>
        <v>0</v>
      </c>
      <c r="Q21" s="62">
        <f t="shared" si="5"/>
        <v>0</v>
      </c>
      <c r="R21" s="5"/>
      <c r="S21" s="5"/>
      <c r="T21" s="5"/>
      <c r="U21" s="5"/>
    </row>
    <row r="22" spans="1:21" x14ac:dyDescent="0.25">
      <c r="A22" s="102" t="s">
        <v>29</v>
      </c>
      <c r="B22" s="102"/>
      <c r="C22" s="26"/>
      <c r="D22" s="27"/>
      <c r="E22" s="27"/>
      <c r="F22" s="17">
        <f t="shared" si="0"/>
        <v>0</v>
      </c>
      <c r="G22" s="18"/>
      <c r="H22" s="28"/>
      <c r="I22" s="28"/>
      <c r="J22" s="28"/>
      <c r="K22" s="19">
        <f t="shared" si="1"/>
        <v>0</v>
      </c>
      <c r="L22" s="18"/>
      <c r="M22" s="19">
        <f t="shared" si="2"/>
        <v>0</v>
      </c>
      <c r="N22" s="5"/>
      <c r="O22" s="62">
        <f t="shared" si="3"/>
        <v>0</v>
      </c>
      <c r="P22" s="62">
        <f t="shared" si="4"/>
        <v>0</v>
      </c>
      <c r="Q22" s="62">
        <f t="shared" si="5"/>
        <v>0</v>
      </c>
      <c r="R22" s="5"/>
      <c r="S22" s="5"/>
      <c r="T22" s="5"/>
      <c r="U22" s="5"/>
    </row>
    <row r="23" spans="1:21" x14ac:dyDescent="0.25">
      <c r="A23" s="103" t="s">
        <v>30</v>
      </c>
      <c r="B23" s="103"/>
      <c r="C23" s="26">
        <v>2762067.92</v>
      </c>
      <c r="D23" s="27">
        <v>2775236.3</v>
      </c>
      <c r="E23" s="27">
        <v>0</v>
      </c>
      <c r="F23" s="17">
        <f t="shared" si="0"/>
        <v>5537304.2199999997</v>
      </c>
      <c r="G23" s="24"/>
      <c r="H23" s="28">
        <f>'[9]131'!F45</f>
        <v>2762067.92</v>
      </c>
      <c r="I23" s="28">
        <f>'[9]131'!F46</f>
        <v>2775236.3</v>
      </c>
      <c r="J23" s="28">
        <f>-'[9]131'!G48</f>
        <v>-128199.24</v>
      </c>
      <c r="K23" s="19">
        <f t="shared" si="1"/>
        <v>5409104.9799999995</v>
      </c>
      <c r="L23" s="24"/>
      <c r="M23" s="19">
        <f t="shared" si="2"/>
        <v>128199.24000000022</v>
      </c>
      <c r="N23" s="29" t="s">
        <v>23</v>
      </c>
      <c r="O23" s="62">
        <f t="shared" si="3"/>
        <v>0</v>
      </c>
      <c r="P23" s="62">
        <f t="shared" si="4"/>
        <v>0</v>
      </c>
      <c r="Q23" s="62">
        <f t="shared" si="5"/>
        <v>128199.24</v>
      </c>
      <c r="R23" s="5"/>
      <c r="S23" s="5"/>
      <c r="T23" s="5"/>
      <c r="U23" s="5"/>
    </row>
    <row r="24" spans="1:21" x14ac:dyDescent="0.25">
      <c r="A24" s="103" t="s">
        <v>31</v>
      </c>
      <c r="B24" s="103"/>
      <c r="C24" s="26"/>
      <c r="D24" s="27"/>
      <c r="E24" s="27">
        <v>147172.27000000002</v>
      </c>
      <c r="F24" s="17">
        <f t="shared" si="0"/>
        <v>147172.27000000002</v>
      </c>
      <c r="G24" s="18"/>
      <c r="H24" s="28"/>
      <c r="I24" s="28"/>
      <c r="J24" s="28">
        <f>'[9]132'!G59</f>
        <v>147172.27000000002</v>
      </c>
      <c r="K24" s="19">
        <f t="shared" si="1"/>
        <v>147172.27000000002</v>
      </c>
      <c r="L24" s="18"/>
      <c r="M24" s="19">
        <f t="shared" si="2"/>
        <v>0</v>
      </c>
      <c r="N24" s="5"/>
      <c r="O24" s="62">
        <f t="shared" si="3"/>
        <v>0</v>
      </c>
      <c r="P24" s="62">
        <f t="shared" si="4"/>
        <v>0</v>
      </c>
      <c r="Q24" s="62">
        <f t="shared" si="5"/>
        <v>0</v>
      </c>
      <c r="R24" s="5"/>
      <c r="S24" s="5"/>
      <c r="T24" s="5"/>
      <c r="U24" s="5"/>
    </row>
    <row r="25" spans="1:21" x14ac:dyDescent="0.25">
      <c r="A25" s="103" t="s">
        <v>32</v>
      </c>
      <c r="B25" s="103"/>
      <c r="C25" s="26"/>
      <c r="D25" s="27"/>
      <c r="E25" s="27"/>
      <c r="F25" s="17">
        <f t="shared" si="0"/>
        <v>0</v>
      </c>
      <c r="G25" s="18"/>
      <c r="H25" s="28"/>
      <c r="I25" s="28"/>
      <c r="J25" s="28"/>
      <c r="K25" s="19">
        <f t="shared" si="1"/>
        <v>0</v>
      </c>
      <c r="L25" s="18"/>
      <c r="M25" s="19">
        <f t="shared" si="2"/>
        <v>0</v>
      </c>
      <c r="N25" s="5"/>
      <c r="O25" s="62">
        <f t="shared" si="3"/>
        <v>0</v>
      </c>
      <c r="P25" s="62">
        <f t="shared" si="4"/>
        <v>0</v>
      </c>
      <c r="Q25" s="62">
        <f t="shared" si="5"/>
        <v>0</v>
      </c>
      <c r="R25" s="5"/>
      <c r="S25" s="5"/>
      <c r="T25" s="5"/>
      <c r="U25" s="5"/>
    </row>
    <row r="26" spans="1:21" x14ac:dyDescent="0.25">
      <c r="A26" s="103" t="s">
        <v>33</v>
      </c>
      <c r="B26" s="103"/>
      <c r="C26" s="26">
        <v>584903.10000000009</v>
      </c>
      <c r="D26" s="27">
        <v>612738.01</v>
      </c>
      <c r="E26" s="27"/>
      <c r="F26" s="17">
        <f t="shared" si="0"/>
        <v>1197641.1100000001</v>
      </c>
      <c r="G26" s="18"/>
      <c r="H26" s="28">
        <f>'[9]134'!G48</f>
        <v>584903.10000000009</v>
      </c>
      <c r="I26" s="28">
        <f>'[9]134'!G49-'[9]134'!H49</f>
        <v>612738.01</v>
      </c>
      <c r="J26" s="28">
        <f>-'[9]134'!H51</f>
        <v>-12774.82</v>
      </c>
      <c r="K26" s="19">
        <f t="shared" si="1"/>
        <v>1184866.29</v>
      </c>
      <c r="L26" s="18"/>
      <c r="M26" s="19">
        <f t="shared" si="2"/>
        <v>12774.820000000065</v>
      </c>
      <c r="N26" s="29" t="s">
        <v>23</v>
      </c>
      <c r="O26" s="62">
        <f t="shared" si="3"/>
        <v>0</v>
      </c>
      <c r="P26" s="62">
        <f t="shared" si="4"/>
        <v>0</v>
      </c>
      <c r="Q26" s="62">
        <f t="shared" si="5"/>
        <v>12774.82</v>
      </c>
      <c r="R26" s="5"/>
      <c r="S26" s="5"/>
      <c r="T26" s="5"/>
      <c r="U26" s="5"/>
    </row>
    <row r="27" spans="1:21" x14ac:dyDescent="0.25">
      <c r="A27" s="103" t="s">
        <v>34</v>
      </c>
      <c r="B27" s="103"/>
      <c r="C27" s="26"/>
      <c r="D27" s="27"/>
      <c r="E27" s="27"/>
      <c r="F27" s="17">
        <f t="shared" si="0"/>
        <v>0</v>
      </c>
      <c r="G27" s="18"/>
      <c r="H27" s="28"/>
      <c r="I27" s="28"/>
      <c r="J27" s="28"/>
      <c r="K27" s="19">
        <f t="shared" si="1"/>
        <v>0</v>
      </c>
      <c r="L27" s="18"/>
      <c r="M27" s="19">
        <f t="shared" si="2"/>
        <v>0</v>
      </c>
      <c r="N27" s="5"/>
      <c r="O27" s="62">
        <f t="shared" si="3"/>
        <v>0</v>
      </c>
      <c r="P27" s="62">
        <f t="shared" si="4"/>
        <v>0</v>
      </c>
      <c r="Q27" s="62">
        <f t="shared" si="5"/>
        <v>0</v>
      </c>
      <c r="R27" s="5"/>
      <c r="S27" s="5"/>
      <c r="T27" s="5"/>
      <c r="U27" s="5"/>
    </row>
    <row r="28" spans="1:21" x14ac:dyDescent="0.25">
      <c r="A28" s="104" t="s">
        <v>35</v>
      </c>
      <c r="B28" s="104"/>
      <c r="C28" s="26"/>
      <c r="D28" s="27"/>
      <c r="E28" s="27"/>
      <c r="F28" s="17">
        <f t="shared" si="0"/>
        <v>0</v>
      </c>
      <c r="G28" s="18"/>
      <c r="H28" s="28"/>
      <c r="I28" s="28"/>
      <c r="J28" s="28"/>
      <c r="K28" s="19">
        <f t="shared" si="1"/>
        <v>0</v>
      </c>
      <c r="L28" s="18"/>
      <c r="M28" s="19">
        <f t="shared" si="2"/>
        <v>0</v>
      </c>
      <c r="N28" s="5"/>
      <c r="O28" s="62">
        <f t="shared" si="3"/>
        <v>0</v>
      </c>
      <c r="P28" s="62">
        <f t="shared" si="4"/>
        <v>0</v>
      </c>
      <c r="Q28" s="62">
        <f t="shared" si="5"/>
        <v>0</v>
      </c>
      <c r="R28" s="5"/>
      <c r="S28" s="5"/>
      <c r="T28" s="5"/>
      <c r="U28" s="5"/>
    </row>
    <row r="29" spans="1:21" x14ac:dyDescent="0.25">
      <c r="A29" s="104" t="s">
        <v>36</v>
      </c>
      <c r="B29" s="104"/>
      <c r="C29" s="26"/>
      <c r="D29" s="27"/>
      <c r="E29" s="27"/>
      <c r="F29" s="17">
        <f t="shared" si="0"/>
        <v>0</v>
      </c>
      <c r="G29" s="18"/>
      <c r="H29" s="28"/>
      <c r="I29" s="28"/>
      <c r="J29" s="28"/>
      <c r="K29" s="19">
        <f t="shared" si="1"/>
        <v>0</v>
      </c>
      <c r="L29" s="18"/>
      <c r="M29" s="19">
        <f t="shared" si="2"/>
        <v>0</v>
      </c>
      <c r="N29" s="5"/>
      <c r="O29" s="62">
        <f t="shared" si="3"/>
        <v>0</v>
      </c>
      <c r="P29" s="62">
        <f t="shared" si="4"/>
        <v>0</v>
      </c>
      <c r="Q29" s="62">
        <f t="shared" si="5"/>
        <v>0</v>
      </c>
      <c r="R29" s="5"/>
      <c r="S29" s="5"/>
      <c r="T29" s="5"/>
      <c r="U29" s="5"/>
    </row>
    <row r="30" spans="1:21" x14ac:dyDescent="0.25">
      <c r="A30" s="102" t="s">
        <v>71</v>
      </c>
      <c r="B30" s="102"/>
      <c r="C30" s="26"/>
      <c r="D30" s="27"/>
      <c r="E30" s="27"/>
      <c r="F30" s="17">
        <f t="shared" si="0"/>
        <v>0</v>
      </c>
      <c r="G30" s="18"/>
      <c r="H30" s="28"/>
      <c r="I30" s="28"/>
      <c r="J30" s="28"/>
      <c r="K30" s="19">
        <f t="shared" si="1"/>
        <v>0</v>
      </c>
      <c r="L30" s="18"/>
      <c r="M30" s="19">
        <f t="shared" si="2"/>
        <v>0</v>
      </c>
      <c r="N30" s="5"/>
      <c r="O30" s="62">
        <f t="shared" si="3"/>
        <v>0</v>
      </c>
      <c r="P30" s="62">
        <f t="shared" si="4"/>
        <v>0</v>
      </c>
      <c r="Q30" s="62">
        <f t="shared" si="5"/>
        <v>0</v>
      </c>
      <c r="R30" s="5"/>
      <c r="S30" s="5"/>
      <c r="T30" s="5"/>
      <c r="U30" s="5"/>
    </row>
    <row r="31" spans="1:21" x14ac:dyDescent="0.25">
      <c r="A31" s="33" t="s">
        <v>38</v>
      </c>
      <c r="B31" s="34"/>
      <c r="C31" s="26">
        <v>3240505.93</v>
      </c>
      <c r="D31" s="27">
        <v>3306118.51</v>
      </c>
      <c r="E31" s="27">
        <v>451698.74</v>
      </c>
      <c r="F31" s="17">
        <f t="shared" si="0"/>
        <v>6998323.1799999997</v>
      </c>
      <c r="G31" s="18"/>
      <c r="H31" s="28">
        <f>'[9]141'!G48</f>
        <v>3240505.93</v>
      </c>
      <c r="I31" s="28">
        <f>'[9]141'!G49</f>
        <v>3306118.51</v>
      </c>
      <c r="J31" s="28">
        <f>'[9]141'!G50-'[9]141'!H51</f>
        <v>309757.87</v>
      </c>
      <c r="K31" s="19">
        <f t="shared" si="1"/>
        <v>6856382.3099999996</v>
      </c>
      <c r="L31" s="18"/>
      <c r="M31" s="19">
        <f t="shared" si="2"/>
        <v>141940.87000000011</v>
      </c>
      <c r="N31" s="29" t="s">
        <v>23</v>
      </c>
      <c r="O31" s="62">
        <f t="shared" si="3"/>
        <v>0</v>
      </c>
      <c r="P31" s="62">
        <f t="shared" si="4"/>
        <v>0</v>
      </c>
      <c r="Q31" s="62">
        <f t="shared" si="5"/>
        <v>141940.87</v>
      </c>
      <c r="R31" s="5"/>
      <c r="S31" s="5"/>
      <c r="T31" s="5"/>
      <c r="U31" s="5"/>
    </row>
    <row r="32" spans="1:21" x14ac:dyDescent="0.25">
      <c r="A32" s="33" t="s">
        <v>39</v>
      </c>
      <c r="B32" s="34"/>
      <c r="C32" s="26">
        <v>1069839.81</v>
      </c>
      <c r="D32" s="27">
        <v>1091501.67</v>
      </c>
      <c r="E32" s="27">
        <v>149126.53</v>
      </c>
      <c r="F32" s="17">
        <f t="shared" si="0"/>
        <v>2310468.0099999998</v>
      </c>
      <c r="G32" s="18"/>
      <c r="H32" s="28">
        <f>'[9]142'!F35</f>
        <v>1069839.81</v>
      </c>
      <c r="I32" s="28">
        <f>'[9]142'!F36</f>
        <v>1091501.67</v>
      </c>
      <c r="J32" s="28">
        <f>'[9]142'!F37-'[9]142'!G38</f>
        <v>102265.69</v>
      </c>
      <c r="K32" s="19">
        <f t="shared" si="1"/>
        <v>2263607.17</v>
      </c>
      <c r="L32" s="18"/>
      <c r="M32" s="19">
        <f t="shared" si="2"/>
        <v>46860.839999999851</v>
      </c>
      <c r="N32" s="29" t="s">
        <v>23</v>
      </c>
      <c r="O32" s="62">
        <f t="shared" si="3"/>
        <v>0</v>
      </c>
      <c r="P32" s="62">
        <f t="shared" si="4"/>
        <v>0</v>
      </c>
      <c r="Q32" s="62">
        <f t="shared" si="5"/>
        <v>46860.84</v>
      </c>
      <c r="R32" s="5"/>
      <c r="S32" s="5"/>
      <c r="T32" s="5"/>
      <c r="U32" s="5"/>
    </row>
    <row r="33" spans="1:21" x14ac:dyDescent="0.25">
      <c r="A33" s="35" t="s">
        <v>40</v>
      </c>
      <c r="B33" s="36"/>
      <c r="C33" s="26">
        <v>224702.53</v>
      </c>
      <c r="D33" s="27">
        <v>229734.75</v>
      </c>
      <c r="E33" s="27"/>
      <c r="F33" s="17">
        <f t="shared" si="0"/>
        <v>454437.28</v>
      </c>
      <c r="G33" s="18"/>
      <c r="H33" s="28">
        <f>'[9]143'!F26</f>
        <v>224702.53</v>
      </c>
      <c r="I33" s="28">
        <f>'[9]143'!F27</f>
        <v>229734.75</v>
      </c>
      <c r="J33" s="28">
        <f>-'[9]143'!G29</f>
        <v>-12954.67</v>
      </c>
      <c r="K33" s="19">
        <f t="shared" si="1"/>
        <v>441482.61000000004</v>
      </c>
      <c r="L33" s="18"/>
      <c r="M33" s="19">
        <f t="shared" si="2"/>
        <v>12954.669999999984</v>
      </c>
      <c r="N33" s="29" t="s">
        <v>23</v>
      </c>
      <c r="O33" s="62">
        <f t="shared" si="3"/>
        <v>0</v>
      </c>
      <c r="P33" s="62">
        <f t="shared" si="4"/>
        <v>0</v>
      </c>
      <c r="Q33" s="62">
        <f t="shared" si="5"/>
        <v>12954.67</v>
      </c>
      <c r="R33" s="5"/>
      <c r="S33" s="5"/>
      <c r="T33" s="5"/>
      <c r="U33" s="5"/>
    </row>
    <row r="34" spans="1:21" x14ac:dyDescent="0.25">
      <c r="A34" s="35" t="s">
        <v>41</v>
      </c>
      <c r="B34" s="36"/>
      <c r="C34" s="26"/>
      <c r="D34" s="27"/>
      <c r="E34" s="27"/>
      <c r="F34" s="17">
        <f t="shared" si="0"/>
        <v>0</v>
      </c>
      <c r="G34" s="18"/>
      <c r="H34" s="28"/>
      <c r="I34" s="28"/>
      <c r="J34" s="28">
        <f>'[9]144'!F24</f>
        <v>965079.86</v>
      </c>
      <c r="K34" s="19">
        <f t="shared" si="1"/>
        <v>965079.86</v>
      </c>
      <c r="L34" s="18"/>
      <c r="M34" s="19">
        <f t="shared" si="2"/>
        <v>-965079.86</v>
      </c>
      <c r="N34" s="29" t="s">
        <v>42</v>
      </c>
      <c r="O34" s="62">
        <f t="shared" si="3"/>
        <v>0</v>
      </c>
      <c r="P34" s="62">
        <f t="shared" si="4"/>
        <v>0</v>
      </c>
      <c r="Q34" s="62">
        <f t="shared" si="5"/>
        <v>-965079.86</v>
      </c>
      <c r="R34" s="5"/>
      <c r="S34" s="5"/>
      <c r="T34" s="5"/>
      <c r="U34" s="5"/>
    </row>
    <row r="35" spans="1:21" x14ac:dyDescent="0.25">
      <c r="A35" s="102" t="s">
        <v>43</v>
      </c>
      <c r="B35" s="102"/>
      <c r="C35" s="26"/>
      <c r="D35" s="27"/>
      <c r="E35" s="27"/>
      <c r="F35" s="17">
        <f t="shared" si="0"/>
        <v>0</v>
      </c>
      <c r="G35" s="18"/>
      <c r="H35" s="28"/>
      <c r="I35" s="28"/>
      <c r="J35" s="28"/>
      <c r="K35" s="19">
        <f t="shared" si="1"/>
        <v>0</v>
      </c>
      <c r="L35" s="18"/>
      <c r="M35" s="19">
        <f t="shared" si="2"/>
        <v>0</v>
      </c>
      <c r="N35" s="5"/>
      <c r="O35" s="62">
        <f t="shared" si="3"/>
        <v>0</v>
      </c>
      <c r="P35" s="62">
        <f t="shared" si="4"/>
        <v>0</v>
      </c>
      <c r="Q35" s="62">
        <f t="shared" si="5"/>
        <v>0</v>
      </c>
      <c r="R35" s="5"/>
      <c r="S35" s="5"/>
      <c r="T35" s="5"/>
      <c r="U35" s="5"/>
    </row>
    <row r="36" spans="1:21" x14ac:dyDescent="0.25">
      <c r="A36" s="103" t="s">
        <v>44</v>
      </c>
      <c r="B36" s="103"/>
      <c r="C36" s="26"/>
      <c r="D36" s="27"/>
      <c r="E36" s="27"/>
      <c r="F36" s="17">
        <f t="shared" si="0"/>
        <v>0</v>
      </c>
      <c r="G36" s="18"/>
      <c r="H36" s="28"/>
      <c r="I36" s="28"/>
      <c r="J36" s="28"/>
      <c r="K36" s="19">
        <f t="shared" si="1"/>
        <v>0</v>
      </c>
      <c r="L36" s="18"/>
      <c r="M36" s="19">
        <f t="shared" si="2"/>
        <v>0</v>
      </c>
      <c r="N36" s="5"/>
      <c r="O36" s="62">
        <f t="shared" si="3"/>
        <v>0</v>
      </c>
      <c r="P36" s="62">
        <f t="shared" si="4"/>
        <v>0</v>
      </c>
      <c r="Q36" s="62">
        <f t="shared" si="5"/>
        <v>0</v>
      </c>
      <c r="R36" s="5"/>
      <c r="S36" s="5"/>
      <c r="T36" s="5"/>
      <c r="U36" s="5"/>
    </row>
    <row r="37" spans="1:21" x14ac:dyDescent="0.25">
      <c r="A37" s="103" t="s">
        <v>45</v>
      </c>
      <c r="B37" s="103"/>
      <c r="C37" s="26"/>
      <c r="D37" s="27"/>
      <c r="E37" s="27">
        <v>782329.97</v>
      </c>
      <c r="F37" s="17">
        <f t="shared" si="0"/>
        <v>782329.97</v>
      </c>
      <c r="G37" s="18"/>
      <c r="H37" s="28"/>
      <c r="I37" s="28"/>
      <c r="J37" s="28">
        <f>'[9]152'!G59+'[9]152'!G60</f>
        <v>2189744.75</v>
      </c>
      <c r="K37" s="19">
        <f t="shared" si="1"/>
        <v>2189744.75</v>
      </c>
      <c r="L37" s="18"/>
      <c r="M37" s="19">
        <f t="shared" si="2"/>
        <v>-1407414.78</v>
      </c>
      <c r="N37" s="29" t="s">
        <v>46</v>
      </c>
      <c r="O37" s="62">
        <f t="shared" si="3"/>
        <v>0</v>
      </c>
      <c r="P37" s="62">
        <f t="shared" si="4"/>
        <v>0</v>
      </c>
      <c r="Q37" s="62">
        <f t="shared" si="5"/>
        <v>-1407414.78</v>
      </c>
      <c r="R37" s="5"/>
      <c r="S37" s="5"/>
      <c r="T37" s="5"/>
      <c r="U37" s="5"/>
    </row>
    <row r="38" spans="1:21" x14ac:dyDescent="0.25">
      <c r="A38" s="103" t="s">
        <v>47</v>
      </c>
      <c r="B38" s="103"/>
      <c r="C38" s="26"/>
      <c r="D38" s="27"/>
      <c r="E38" s="27">
        <v>101224.62</v>
      </c>
      <c r="F38" s="17">
        <f t="shared" si="0"/>
        <v>101224.62</v>
      </c>
      <c r="G38" s="18"/>
      <c r="H38" s="28"/>
      <c r="I38" s="28"/>
      <c r="J38" s="28">
        <f>'[9]153'!F24</f>
        <v>101224.62</v>
      </c>
      <c r="K38" s="19">
        <f t="shared" si="1"/>
        <v>101224.62</v>
      </c>
      <c r="L38" s="18"/>
      <c r="M38" s="19">
        <f t="shared" si="2"/>
        <v>0</v>
      </c>
      <c r="N38" s="5"/>
      <c r="O38" s="62">
        <f t="shared" si="3"/>
        <v>0</v>
      </c>
      <c r="P38" s="62">
        <f t="shared" si="4"/>
        <v>0</v>
      </c>
      <c r="Q38" s="62">
        <f t="shared" si="5"/>
        <v>0</v>
      </c>
      <c r="R38" s="5"/>
      <c r="S38" s="5"/>
      <c r="T38" s="5"/>
      <c r="U38" s="5"/>
    </row>
    <row r="39" spans="1:21" x14ac:dyDescent="0.25">
      <c r="A39" s="103" t="s">
        <v>48</v>
      </c>
      <c r="B39" s="103"/>
      <c r="C39" s="26">
        <v>32243716.549999997</v>
      </c>
      <c r="D39" s="27">
        <v>36067162.950000003</v>
      </c>
      <c r="E39" s="27">
        <v>6757617.5500000007</v>
      </c>
      <c r="F39" s="17">
        <f t="shared" si="0"/>
        <v>75068497.049999997</v>
      </c>
      <c r="G39" s="18"/>
      <c r="H39" s="28">
        <f>'[9]154'!G94</f>
        <v>32243716.549999997</v>
      </c>
      <c r="I39" s="28">
        <f>'[9]154'!G95</f>
        <v>36067162.950000003</v>
      </c>
      <c r="J39" s="28">
        <f>'[9]154'!G96+'[9]154'!G97-'[9]154'!H98</f>
        <v>5571136.0100000007</v>
      </c>
      <c r="K39" s="19">
        <f t="shared" si="1"/>
        <v>73882015.510000005</v>
      </c>
      <c r="L39" s="18"/>
      <c r="M39" s="19">
        <f t="shared" si="2"/>
        <v>1186481.5399999917</v>
      </c>
      <c r="N39" s="29" t="s">
        <v>23</v>
      </c>
      <c r="O39" s="62">
        <f t="shared" si="3"/>
        <v>0</v>
      </c>
      <c r="P39" s="62">
        <f t="shared" si="4"/>
        <v>0</v>
      </c>
      <c r="Q39" s="62">
        <f t="shared" si="5"/>
        <v>1186481.54</v>
      </c>
      <c r="R39" s="5"/>
      <c r="S39" s="5"/>
      <c r="T39" s="5"/>
      <c r="U39" s="5"/>
    </row>
    <row r="40" spans="1:21" x14ac:dyDescent="0.25">
      <c r="A40" s="103" t="s">
        <v>49</v>
      </c>
      <c r="B40" s="103"/>
      <c r="C40" s="26"/>
      <c r="D40" s="27"/>
      <c r="E40" s="27"/>
      <c r="F40" s="17">
        <f t="shared" si="0"/>
        <v>0</v>
      </c>
      <c r="G40" s="18"/>
      <c r="H40" s="28"/>
      <c r="I40" s="28"/>
      <c r="J40" s="28"/>
      <c r="K40" s="19">
        <f t="shared" si="1"/>
        <v>0</v>
      </c>
      <c r="L40" s="18"/>
      <c r="M40" s="19">
        <f t="shared" si="2"/>
        <v>0</v>
      </c>
      <c r="N40" s="5"/>
      <c r="O40" s="62">
        <f t="shared" si="3"/>
        <v>0</v>
      </c>
      <c r="P40" s="62">
        <f t="shared" si="4"/>
        <v>0</v>
      </c>
      <c r="Q40" s="62">
        <f t="shared" si="5"/>
        <v>0</v>
      </c>
      <c r="R40" s="5"/>
      <c r="S40" s="5"/>
      <c r="T40" s="5"/>
      <c r="U40" s="5"/>
    </row>
    <row r="41" spans="1:21" x14ac:dyDescent="0.25">
      <c r="A41" s="103" t="s">
        <v>50</v>
      </c>
      <c r="B41" s="103"/>
      <c r="C41" s="26"/>
      <c r="D41" s="27"/>
      <c r="E41" s="27"/>
      <c r="F41" s="17">
        <f t="shared" si="0"/>
        <v>0</v>
      </c>
      <c r="G41" s="18"/>
      <c r="H41" s="28"/>
      <c r="I41" s="28"/>
      <c r="J41" s="28"/>
      <c r="K41" s="19">
        <f t="shared" si="1"/>
        <v>0</v>
      </c>
      <c r="L41" s="18"/>
      <c r="M41" s="19">
        <f t="shared" si="2"/>
        <v>0</v>
      </c>
      <c r="N41" s="5"/>
      <c r="O41" s="62">
        <f t="shared" si="3"/>
        <v>0</v>
      </c>
      <c r="P41" s="62">
        <f t="shared" si="4"/>
        <v>0</v>
      </c>
      <c r="Q41" s="62">
        <f t="shared" si="5"/>
        <v>0</v>
      </c>
      <c r="R41" s="5"/>
      <c r="S41" s="5"/>
      <c r="T41" s="5"/>
      <c r="U41" s="5"/>
    </row>
    <row r="42" spans="1:21" x14ac:dyDescent="0.25">
      <c r="A42" s="102" t="s">
        <v>51</v>
      </c>
      <c r="B42" s="102"/>
      <c r="C42" s="26"/>
      <c r="D42" s="27"/>
      <c r="E42" s="27"/>
      <c r="F42" s="17">
        <f t="shared" si="0"/>
        <v>0</v>
      </c>
      <c r="G42" s="18"/>
      <c r="H42" s="28"/>
      <c r="I42" s="28"/>
      <c r="J42" s="28"/>
      <c r="K42" s="19">
        <f t="shared" si="1"/>
        <v>0</v>
      </c>
      <c r="L42" s="18"/>
      <c r="M42" s="19">
        <f t="shared" si="2"/>
        <v>0</v>
      </c>
      <c r="N42" s="5"/>
      <c r="O42" s="62">
        <f t="shared" si="3"/>
        <v>0</v>
      </c>
      <c r="P42" s="62">
        <f t="shared" si="4"/>
        <v>0</v>
      </c>
      <c r="Q42" s="62">
        <f t="shared" si="5"/>
        <v>0</v>
      </c>
      <c r="R42" s="5"/>
      <c r="S42" s="5"/>
      <c r="T42" s="5"/>
      <c r="U42" s="5"/>
    </row>
    <row r="43" spans="1:21" x14ac:dyDescent="0.25">
      <c r="A43" s="103" t="s">
        <v>52</v>
      </c>
      <c r="B43" s="103"/>
      <c r="C43" s="26"/>
      <c r="D43" s="27"/>
      <c r="E43" s="27"/>
      <c r="F43" s="17">
        <f t="shared" si="0"/>
        <v>0</v>
      </c>
      <c r="G43" s="18"/>
      <c r="H43" s="28"/>
      <c r="I43" s="28"/>
      <c r="J43" s="28"/>
      <c r="K43" s="19">
        <f t="shared" si="1"/>
        <v>0</v>
      </c>
      <c r="L43" s="18"/>
      <c r="M43" s="19">
        <f t="shared" si="2"/>
        <v>0</v>
      </c>
      <c r="N43" s="5"/>
      <c r="O43" s="62">
        <f t="shared" si="3"/>
        <v>0</v>
      </c>
      <c r="P43" s="62">
        <f t="shared" si="4"/>
        <v>0</v>
      </c>
      <c r="Q43" s="62">
        <f t="shared" si="5"/>
        <v>0</v>
      </c>
      <c r="R43" s="5"/>
      <c r="S43" s="5"/>
      <c r="T43" s="5"/>
      <c r="U43" s="5"/>
    </row>
    <row r="44" spans="1:21" x14ac:dyDescent="0.25">
      <c r="A44" s="102" t="s">
        <v>53</v>
      </c>
      <c r="B44" s="102"/>
      <c r="C44" s="26"/>
      <c r="D44" s="27"/>
      <c r="E44" s="27"/>
      <c r="F44" s="17">
        <f t="shared" si="0"/>
        <v>0</v>
      </c>
      <c r="G44" s="18"/>
      <c r="H44" s="28"/>
      <c r="I44" s="28"/>
      <c r="J44" s="28"/>
      <c r="K44" s="19">
        <f t="shared" si="1"/>
        <v>0</v>
      </c>
      <c r="L44" s="18"/>
      <c r="M44" s="19">
        <f t="shared" si="2"/>
        <v>0</v>
      </c>
      <c r="N44" s="5"/>
      <c r="O44" s="62">
        <f t="shared" si="3"/>
        <v>0</v>
      </c>
      <c r="P44" s="62">
        <f t="shared" si="4"/>
        <v>0</v>
      </c>
      <c r="Q44" s="62">
        <f t="shared" si="5"/>
        <v>0</v>
      </c>
      <c r="R44" s="5"/>
      <c r="S44" s="5"/>
      <c r="T44" s="5"/>
      <c r="U44" s="5"/>
    </row>
    <row r="45" spans="1:21" x14ac:dyDescent="0.25">
      <c r="A45" s="103" t="s">
        <v>54</v>
      </c>
      <c r="B45" s="103"/>
      <c r="C45" s="26"/>
      <c r="D45" s="27"/>
      <c r="E45" s="27"/>
      <c r="F45" s="17">
        <f t="shared" si="0"/>
        <v>0</v>
      </c>
      <c r="G45" s="18"/>
      <c r="H45" s="28"/>
      <c r="I45" s="28"/>
      <c r="J45" s="28"/>
      <c r="K45" s="19">
        <f t="shared" si="1"/>
        <v>0</v>
      </c>
      <c r="L45" s="18"/>
      <c r="M45" s="19">
        <f t="shared" si="2"/>
        <v>0</v>
      </c>
      <c r="N45" s="5"/>
      <c r="O45" s="62">
        <f t="shared" si="3"/>
        <v>0</v>
      </c>
      <c r="P45" s="62">
        <f t="shared" si="4"/>
        <v>0</v>
      </c>
      <c r="Q45" s="62">
        <f t="shared" si="5"/>
        <v>0</v>
      </c>
      <c r="R45" s="5"/>
      <c r="S45" s="5"/>
      <c r="T45" s="5"/>
      <c r="U45" s="5"/>
    </row>
    <row r="46" spans="1:21" x14ac:dyDescent="0.25">
      <c r="A46" s="103" t="s">
        <v>55</v>
      </c>
      <c r="B46" s="103"/>
      <c r="C46" s="37"/>
      <c r="D46" s="38"/>
      <c r="E46" s="38"/>
      <c r="F46" s="17">
        <f t="shared" si="0"/>
        <v>0</v>
      </c>
      <c r="G46" s="24"/>
      <c r="H46" s="28"/>
      <c r="I46" s="28"/>
      <c r="J46" s="28"/>
      <c r="K46" s="19">
        <f t="shared" si="1"/>
        <v>0</v>
      </c>
      <c r="L46" s="24"/>
      <c r="M46" s="19">
        <f t="shared" si="2"/>
        <v>0</v>
      </c>
      <c r="N46" s="5"/>
      <c r="O46" s="62">
        <f t="shared" si="3"/>
        <v>0</v>
      </c>
      <c r="P46" s="62">
        <f t="shared" si="4"/>
        <v>0</v>
      </c>
      <c r="Q46" s="62">
        <f t="shared" si="5"/>
        <v>0</v>
      </c>
      <c r="R46" s="5"/>
      <c r="S46" s="5"/>
      <c r="T46" s="5"/>
      <c r="U46" s="5"/>
    </row>
    <row r="47" spans="1:21" x14ac:dyDescent="0.25">
      <c r="A47" s="105"/>
      <c r="B47" s="105"/>
      <c r="C47" s="22"/>
      <c r="D47" s="23"/>
      <c r="E47" s="23"/>
      <c r="F47" s="17"/>
      <c r="G47" s="24"/>
      <c r="H47" s="28"/>
      <c r="I47" s="28"/>
      <c r="J47" s="28"/>
      <c r="K47" s="19"/>
      <c r="L47" s="24"/>
      <c r="M47" s="19"/>
      <c r="N47" s="5"/>
      <c r="O47" s="62">
        <f t="shared" si="3"/>
        <v>0</v>
      </c>
      <c r="P47" s="62">
        <f t="shared" si="4"/>
        <v>0</v>
      </c>
      <c r="Q47" s="62">
        <f t="shared" si="5"/>
        <v>0</v>
      </c>
      <c r="R47" s="5"/>
      <c r="S47" s="5"/>
      <c r="T47" s="5"/>
      <c r="U47" s="5"/>
    </row>
    <row r="48" spans="1:21" x14ac:dyDescent="0.25">
      <c r="A48" s="106" t="s">
        <v>56</v>
      </c>
      <c r="B48" s="106"/>
      <c r="C48" s="39">
        <f>SUM(C13:C47)</f>
        <v>66058266.619999997</v>
      </c>
      <c r="D48" s="40">
        <f>SUM(D13:D47)</f>
        <v>70305671.670000017</v>
      </c>
      <c r="E48" s="40">
        <f>SUM(E13:E47)</f>
        <v>9230246.0800000019</v>
      </c>
      <c r="F48" s="40">
        <f>SUM(F13:F47)</f>
        <v>145594184.37</v>
      </c>
      <c r="G48" s="18"/>
      <c r="H48" s="40">
        <f>SUM(H13:H47)</f>
        <v>66058266.619999997</v>
      </c>
      <c r="I48" s="40">
        <f>SUM(I13:I47)</f>
        <v>70305671.670000002</v>
      </c>
      <c r="J48" s="40">
        <f>SUM(J13:J47)</f>
        <v>9295176.8800000008</v>
      </c>
      <c r="K48" s="40">
        <f>SUM(K13:K47)</f>
        <v>145659115.17000002</v>
      </c>
      <c r="L48" s="18"/>
      <c r="M48" s="57">
        <f>F48-K48</f>
        <v>-64930.800000011921</v>
      </c>
      <c r="N48" s="59">
        <f>M48-C52-C53-C54</f>
        <v>-1.234002411365509E-8</v>
      </c>
    </row>
    <row r="49" spans="1:14" x14ac:dyDescent="0.25">
      <c r="A49" s="42"/>
      <c r="B49" s="14"/>
      <c r="C49" s="43"/>
      <c r="D49" s="43"/>
      <c r="E49" s="43"/>
      <c r="F49" s="43"/>
      <c r="G49" s="14"/>
      <c r="H49" s="14"/>
      <c r="I49" s="14"/>
      <c r="J49" s="43"/>
      <c r="K49" s="14"/>
      <c r="L49" s="14"/>
      <c r="M49" s="14"/>
      <c r="N49" s="3"/>
    </row>
    <row r="50" spans="1:14" x14ac:dyDescent="0.25">
      <c r="A50" s="42"/>
      <c r="B50" s="14"/>
      <c r="C50" s="43"/>
      <c r="D50" s="43"/>
      <c r="E50" s="43"/>
      <c r="F50" s="43"/>
      <c r="G50" s="14"/>
      <c r="H50" s="14"/>
      <c r="I50" s="18"/>
      <c r="J50" s="43"/>
      <c r="K50" s="30"/>
      <c r="L50" s="14"/>
      <c r="M50" s="14"/>
      <c r="N50" s="3"/>
    </row>
    <row r="51" spans="1:14" x14ac:dyDescent="0.25">
      <c r="A51" s="15" t="s">
        <v>57</v>
      </c>
      <c r="B51" s="20"/>
      <c r="C51" s="44" t="s">
        <v>58</v>
      </c>
      <c r="D51" s="43"/>
      <c r="E51" s="43"/>
      <c r="F51" s="43"/>
      <c r="G51" s="14"/>
      <c r="H51" s="14"/>
      <c r="I51" s="14"/>
      <c r="J51" s="43"/>
      <c r="K51" s="18"/>
      <c r="L51" s="14"/>
      <c r="M51" s="14"/>
      <c r="N51" s="3"/>
    </row>
    <row r="52" spans="1:14" x14ac:dyDescent="0.25">
      <c r="A52" s="103" t="s">
        <v>59</v>
      </c>
      <c r="B52" s="103"/>
      <c r="C52" s="45">
        <f>'[9]113'!H140+'[9]131'!G48+'[9]134'!H51+'[9]141'!H51+'[9]142'!G38+'[9]143'!G29+'[9]154'!H98</f>
        <v>2307563.8400000003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"/>
    </row>
    <row r="53" spans="1:14" x14ac:dyDescent="0.25">
      <c r="A53" s="33" t="s">
        <v>60</v>
      </c>
      <c r="B53" s="46"/>
      <c r="C53" s="45">
        <f>-'[9]144'!F24</f>
        <v>-965079.86</v>
      </c>
      <c r="D53" s="14"/>
      <c r="E53" s="14"/>
      <c r="F53" s="14"/>
      <c r="G53" s="14"/>
      <c r="H53" s="14"/>
      <c r="I53" s="14"/>
      <c r="J53" s="14"/>
      <c r="K53" s="14"/>
      <c r="L53" s="14"/>
      <c r="M53" s="18"/>
      <c r="N53" s="3"/>
    </row>
    <row r="54" spans="1:14" x14ac:dyDescent="0.25">
      <c r="A54" s="47" t="s">
        <v>61</v>
      </c>
      <c r="B54" s="48"/>
      <c r="C54" s="45">
        <f>-'[9]152'!G60</f>
        <v>-1407414.78</v>
      </c>
      <c r="D54" s="49"/>
      <c r="E54" s="49"/>
      <c r="F54" s="14"/>
      <c r="G54" s="14"/>
      <c r="H54" s="14"/>
      <c r="I54" s="14"/>
      <c r="J54" s="14"/>
      <c r="K54" s="14"/>
      <c r="L54" s="14"/>
      <c r="M54" s="18"/>
      <c r="N54" s="3"/>
    </row>
    <row r="55" spans="1:14" x14ac:dyDescent="0.25">
      <c r="A55" s="50"/>
      <c r="B55" s="50"/>
      <c r="C55" s="58"/>
      <c r="D55" s="14"/>
      <c r="E55" s="14"/>
      <c r="F55" s="14"/>
      <c r="G55" s="14"/>
      <c r="H55" s="14"/>
      <c r="I55" s="14"/>
      <c r="J55" s="14"/>
      <c r="K55" s="14"/>
      <c r="L55" s="14"/>
      <c r="M55" s="18"/>
      <c r="N55" s="3"/>
    </row>
    <row r="56" spans="1:14" x14ac:dyDescent="0.25">
      <c r="A56" s="50"/>
      <c r="B56" s="50"/>
      <c r="C56" s="58"/>
      <c r="D56" s="14"/>
      <c r="E56" s="14"/>
      <c r="F56" s="14"/>
      <c r="G56" s="14"/>
      <c r="H56" s="14"/>
      <c r="I56" s="14"/>
      <c r="J56" s="14"/>
      <c r="K56" s="14"/>
      <c r="L56" s="14"/>
      <c r="M56" s="18"/>
      <c r="N56" s="3"/>
    </row>
    <row r="57" spans="1:14" x14ac:dyDescent="0.25">
      <c r="B57" s="3"/>
      <c r="C57" s="4"/>
      <c r="D57" s="107"/>
      <c r="E57" s="107"/>
      <c r="F57" s="51"/>
      <c r="G57" s="3"/>
      <c r="H57" s="107"/>
      <c r="I57" s="107"/>
      <c r="J57" s="107"/>
      <c r="K57" s="3"/>
      <c r="L57" s="3"/>
      <c r="M57" s="32"/>
      <c r="N57" s="32"/>
    </row>
    <row r="58" spans="1:14" ht="15.75" thickBot="1" x14ac:dyDescent="0.3">
      <c r="B58" s="3"/>
      <c r="C58" s="4"/>
      <c r="D58" s="107"/>
      <c r="E58" s="107"/>
      <c r="F58" s="52"/>
      <c r="G58" s="3"/>
      <c r="H58" s="111"/>
      <c r="I58" s="111"/>
      <c r="J58" s="25"/>
      <c r="K58" s="112"/>
      <c r="L58" s="112"/>
      <c r="M58" s="112"/>
      <c r="N58" s="32"/>
    </row>
    <row r="59" spans="1:14" x14ac:dyDescent="0.25">
      <c r="A59" s="53" t="s">
        <v>62</v>
      </c>
      <c r="B59" s="3"/>
      <c r="C59" s="113" t="s">
        <v>63</v>
      </c>
      <c r="D59" s="113"/>
      <c r="E59" s="52"/>
      <c r="F59" s="52"/>
      <c r="G59" s="3"/>
      <c r="H59" s="113" t="s">
        <v>62</v>
      </c>
      <c r="I59" s="113"/>
      <c r="J59" s="54"/>
      <c r="K59" s="113" t="s">
        <v>63</v>
      </c>
      <c r="L59" s="113"/>
      <c r="M59" s="113"/>
      <c r="N59" s="32"/>
    </row>
    <row r="60" spans="1:14" x14ac:dyDescent="0.25">
      <c r="A60" s="55" t="s">
        <v>64</v>
      </c>
      <c r="B60" s="3"/>
      <c r="C60" s="108" t="s">
        <v>65</v>
      </c>
      <c r="D60" s="108"/>
      <c r="E60" s="4"/>
      <c r="F60" s="4"/>
      <c r="G60" s="3"/>
      <c r="H60" s="109" t="s">
        <v>66</v>
      </c>
      <c r="I60" s="109"/>
      <c r="J60" s="4"/>
      <c r="K60" s="109" t="s">
        <v>67</v>
      </c>
      <c r="L60" s="109"/>
      <c r="M60" s="109"/>
      <c r="N60" s="32"/>
    </row>
    <row r="61" spans="1:14" x14ac:dyDescent="0.25">
      <c r="B61" s="3"/>
      <c r="C61" s="4"/>
      <c r="D61" s="4"/>
      <c r="E61" s="4"/>
      <c r="F61" s="4"/>
      <c r="G61" s="3"/>
      <c r="H61" s="3"/>
      <c r="I61" s="3"/>
      <c r="J61" s="4"/>
      <c r="K61" s="3"/>
      <c r="L61" s="3"/>
      <c r="M61" s="32"/>
      <c r="N61" s="32"/>
    </row>
    <row r="62" spans="1:14" x14ac:dyDescent="0.25">
      <c r="B62" s="3"/>
      <c r="C62" s="4"/>
      <c r="D62" s="4"/>
      <c r="E62" s="4"/>
      <c r="F62" s="4"/>
      <c r="G62" s="3"/>
      <c r="H62" s="3"/>
      <c r="I62" s="3"/>
      <c r="J62" s="4"/>
      <c r="K62" s="3"/>
      <c r="L62" s="3"/>
      <c r="M62" s="32"/>
      <c r="N62" s="32"/>
    </row>
    <row r="63" spans="1:14" x14ac:dyDescent="0.25">
      <c r="B63" s="3"/>
      <c r="C63" s="4"/>
      <c r="D63" s="4"/>
      <c r="E63" s="4"/>
      <c r="F63" s="4"/>
      <c r="G63" s="3"/>
      <c r="H63" s="3"/>
      <c r="I63" s="3"/>
      <c r="J63" s="4"/>
      <c r="K63" s="3"/>
      <c r="L63" s="3"/>
      <c r="M63" s="32"/>
      <c r="N63" s="32"/>
    </row>
    <row r="64" spans="1:14" ht="15" customHeight="1" x14ac:dyDescent="0.25">
      <c r="A64" s="110" t="s">
        <v>68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32"/>
    </row>
    <row r="65" spans="2:14" x14ac:dyDescent="0.25">
      <c r="B65" s="3"/>
      <c r="C65" s="4"/>
      <c r="D65" s="4"/>
      <c r="E65" s="4"/>
      <c r="F65" s="4"/>
      <c r="G65" s="3"/>
      <c r="H65" s="3"/>
      <c r="I65" s="3"/>
      <c r="J65" s="4"/>
      <c r="K65" s="3"/>
      <c r="L65" s="3"/>
      <c r="M65" s="32"/>
      <c r="N65" s="32"/>
    </row>
    <row r="66" spans="2:14" x14ac:dyDescent="0.25">
      <c r="B66" s="3"/>
      <c r="C66" s="4"/>
      <c r="D66" s="4"/>
      <c r="E66" s="4"/>
      <c r="F66" s="4"/>
      <c r="G66" s="3"/>
      <c r="H66" s="3"/>
      <c r="I66" s="3"/>
      <c r="J66" s="4"/>
      <c r="K66" s="3"/>
      <c r="L66" s="3"/>
      <c r="M66" s="32"/>
      <c r="N66" s="32"/>
    </row>
    <row r="67" spans="2:14" x14ac:dyDescent="0.25">
      <c r="B67" s="3"/>
      <c r="C67" s="4"/>
      <c r="D67" s="4"/>
      <c r="E67" s="4"/>
      <c r="F67" s="4"/>
      <c r="G67" s="3"/>
      <c r="H67" s="3"/>
      <c r="I67" s="3"/>
      <c r="J67" s="4"/>
      <c r="K67" s="3"/>
      <c r="L67" s="3"/>
      <c r="M67" s="32"/>
      <c r="N67" s="32"/>
    </row>
  </sheetData>
  <mergeCells count="57">
    <mergeCell ref="D58:E58"/>
    <mergeCell ref="H58:I58"/>
    <mergeCell ref="A64:M64"/>
    <mergeCell ref="K58:M58"/>
    <mergeCell ref="C59:D59"/>
    <mergeCell ref="H59:I59"/>
    <mergeCell ref="K59:M59"/>
    <mergeCell ref="C60:D60"/>
    <mergeCell ref="H60:I60"/>
    <mergeCell ref="K60:M60"/>
    <mergeCell ref="A47:B47"/>
    <mergeCell ref="A48:B48"/>
    <mergeCell ref="A52:B52"/>
    <mergeCell ref="D57:E57"/>
    <mergeCell ref="H57:J57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28:B28"/>
    <mergeCell ref="A29:B29"/>
    <mergeCell ref="A30:B30"/>
    <mergeCell ref="A35:B35"/>
    <mergeCell ref="A36:B36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0:B10"/>
    <mergeCell ref="C10:E10"/>
    <mergeCell ref="H10:J10"/>
    <mergeCell ref="A11:B11"/>
    <mergeCell ref="A12:B12"/>
    <mergeCell ref="A1:M1"/>
    <mergeCell ref="B2:M2"/>
    <mergeCell ref="A3:M3"/>
    <mergeCell ref="A6:B6"/>
    <mergeCell ref="A8:B9"/>
    <mergeCell ref="C9:F9"/>
    <mergeCell ref="H9:K9"/>
  </mergeCells>
  <pageMargins left="0.19685039370078741" right="0.19685039370078741" top="0.74803149606299213" bottom="0.74803149606299213" header="0.31496062992125984" footer="0.31496062992125984"/>
  <pageSetup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DIC</vt:lpstr>
      <vt:lpstr>NOV</vt:lpstr>
      <vt:lpstr>OCT</vt:lpstr>
      <vt:lpstr>SEP</vt:lpstr>
      <vt:lpstr>AGO</vt:lpstr>
      <vt:lpstr>JUL</vt:lpstr>
      <vt:lpstr>JUN</vt:lpstr>
      <vt:lpstr>MAY</vt:lpstr>
      <vt:lpstr>ABR</vt:lpstr>
      <vt:lpstr>MAR</vt:lpstr>
      <vt:lpstr>FEB</vt:lpstr>
      <vt:lpstr>ENE</vt:lpstr>
      <vt:lpstr>DIC!Área_de_impresión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AGUNDEZ</dc:creator>
  <cp:lastModifiedBy>DCONTABILIDAD</cp:lastModifiedBy>
  <dcterms:created xsi:type="dcterms:W3CDTF">2025-04-30T20:03:36Z</dcterms:created>
  <dcterms:modified xsi:type="dcterms:W3CDTF">2025-04-30T20:22:59Z</dcterms:modified>
</cp:coreProperties>
</file>